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Sheet1!$A$1:$F$1716</definedName>
  </definedNames>
  <calcPr calcId="144525"/>
</workbook>
</file>

<file path=xl/sharedStrings.xml><?xml version="1.0" encoding="utf-8"?>
<sst xmlns="http://schemas.openxmlformats.org/spreadsheetml/2006/main" count="7" uniqueCount="7">
  <si>
    <t>阜阳市第五人民医院2020年公开招聘工作人员笔试成绩</t>
  </si>
  <si>
    <t>准考证号</t>
  </si>
  <si>
    <t>行政职业能力测试
(满分100分）</t>
  </si>
  <si>
    <t>权重成绩
（30%）</t>
  </si>
  <si>
    <t>专业知识
(满分100分）</t>
  </si>
  <si>
    <t>权重成绩
（70%）</t>
  </si>
  <si>
    <t>笔试成绩
(满分100分）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</si>
</sst>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16"/>
  <sheetViews>
    <sheetView tabSelected="1" workbookViewId="0">
      <selection activeCell="I19" sqref="I19"/>
    </sheetView>
  </sheetViews>
  <sheetFormatPr defaultColWidth="9" defaultRowHeight="13.5"/>
  <cols>
    <col min="1" max="1" width="13.2583333333333" style="1" customWidth="1"/>
    <col min="2" max="2" width="18.875" style="3" customWidth="1"/>
    <col min="3" max="3" width="9" style="3"/>
    <col min="4" max="4" width="14.05" style="3" customWidth="1"/>
    <col min="5" max="5" width="9" style="3"/>
    <col min="6" max="6" width="13.2666666666667" style="3" customWidth="1"/>
    <col min="7" max="16384" width="9" style="1"/>
  </cols>
  <sheetData>
    <row r="1" s="1" customFormat="1" ht="18.75" spans="1:6">
      <c r="A1" s="4" t="s">
        <v>0</v>
      </c>
      <c r="B1" s="4"/>
      <c r="C1" s="4"/>
      <c r="D1" s="4"/>
      <c r="E1" s="4"/>
      <c r="F1" s="4"/>
    </row>
    <row r="2" s="2" customFormat="1" ht="27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="1" customFormat="1" spans="1:6">
      <c r="A3" s="8" t="str">
        <f>"2020890101"</f>
        <v>2020890101</v>
      </c>
      <c r="B3" s="9">
        <v>79</v>
      </c>
      <c r="C3" s="9">
        <f t="shared" ref="C3:C66" si="0">B3*0.3</f>
        <v>23.7</v>
      </c>
      <c r="D3" s="10">
        <v>76</v>
      </c>
      <c r="E3" s="9">
        <f t="shared" ref="E3:E66" si="1">D3*0.7</f>
        <v>53.2</v>
      </c>
      <c r="F3" s="9">
        <f t="shared" ref="F3:F66" si="2">C3+E3</f>
        <v>76.9</v>
      </c>
    </row>
    <row r="4" s="1" customFormat="1" spans="1:6">
      <c r="A4" s="8" t="str">
        <f>"2020890102"</f>
        <v>2020890102</v>
      </c>
      <c r="B4" s="9">
        <v>63</v>
      </c>
      <c r="C4" s="9">
        <f t="shared" si="0"/>
        <v>18.9</v>
      </c>
      <c r="D4" s="10">
        <v>74</v>
      </c>
      <c r="E4" s="9">
        <f t="shared" si="1"/>
        <v>51.8</v>
      </c>
      <c r="F4" s="9">
        <f t="shared" si="2"/>
        <v>70.7</v>
      </c>
    </row>
    <row r="5" s="1" customFormat="1" spans="1:6">
      <c r="A5" s="8" t="str">
        <f>"2020890103"</f>
        <v>2020890103</v>
      </c>
      <c r="B5" s="9">
        <v>0</v>
      </c>
      <c r="C5" s="9">
        <f t="shared" si="0"/>
        <v>0</v>
      </c>
      <c r="D5" s="10">
        <v>0</v>
      </c>
      <c r="E5" s="9">
        <f t="shared" si="1"/>
        <v>0</v>
      </c>
      <c r="F5" s="9">
        <f t="shared" si="2"/>
        <v>0</v>
      </c>
    </row>
    <row r="6" s="1" customFormat="1" spans="1:6">
      <c r="A6" s="8" t="str">
        <f>"2020890104"</f>
        <v>2020890104</v>
      </c>
      <c r="B6" s="9">
        <v>66</v>
      </c>
      <c r="C6" s="9">
        <f t="shared" si="0"/>
        <v>19.8</v>
      </c>
      <c r="D6" s="10">
        <v>92</v>
      </c>
      <c r="E6" s="9">
        <f t="shared" si="1"/>
        <v>64.4</v>
      </c>
      <c r="F6" s="9">
        <f t="shared" si="2"/>
        <v>84.2</v>
      </c>
    </row>
    <row r="7" s="1" customFormat="1" spans="1:6">
      <c r="A7" s="8" t="str">
        <f>"2020890105"</f>
        <v>2020890105</v>
      </c>
      <c r="B7" s="9">
        <v>75</v>
      </c>
      <c r="C7" s="9">
        <f t="shared" si="0"/>
        <v>22.5</v>
      </c>
      <c r="D7" s="10">
        <v>83</v>
      </c>
      <c r="E7" s="9">
        <f t="shared" si="1"/>
        <v>58.1</v>
      </c>
      <c r="F7" s="9">
        <f t="shared" si="2"/>
        <v>80.6</v>
      </c>
    </row>
    <row r="8" s="1" customFormat="1" spans="1:8">
      <c r="A8" s="8" t="str">
        <f>"2020890106"</f>
        <v>2020890106</v>
      </c>
      <c r="B8" s="9">
        <v>68</v>
      </c>
      <c r="C8" s="9">
        <f t="shared" si="0"/>
        <v>20.4</v>
      </c>
      <c r="D8" s="10">
        <v>94</v>
      </c>
      <c r="E8" s="9">
        <f t="shared" si="1"/>
        <v>65.8</v>
      </c>
      <c r="F8" s="9">
        <f t="shared" si="2"/>
        <v>86.2</v>
      </c>
      <c r="H8" s="11"/>
    </row>
    <row r="9" s="1" customFormat="1" spans="1:6">
      <c r="A9" s="8" t="str">
        <f>"2020890107"</f>
        <v>2020890107</v>
      </c>
      <c r="B9" s="9">
        <v>0</v>
      </c>
      <c r="C9" s="9">
        <f t="shared" si="0"/>
        <v>0</v>
      </c>
      <c r="D9" s="10">
        <v>0</v>
      </c>
      <c r="E9" s="9">
        <f t="shared" si="1"/>
        <v>0</v>
      </c>
      <c r="F9" s="9">
        <f t="shared" si="2"/>
        <v>0</v>
      </c>
    </row>
    <row r="10" s="1" customFormat="1" spans="1:6">
      <c r="A10" s="8" t="str">
        <f>"2020890108"</f>
        <v>2020890108</v>
      </c>
      <c r="B10" s="9">
        <v>69</v>
      </c>
      <c r="C10" s="9">
        <f t="shared" si="0"/>
        <v>20.7</v>
      </c>
      <c r="D10" s="10">
        <v>87</v>
      </c>
      <c r="E10" s="9">
        <f t="shared" si="1"/>
        <v>60.9</v>
      </c>
      <c r="F10" s="9">
        <f t="shared" si="2"/>
        <v>81.6</v>
      </c>
    </row>
    <row r="11" s="1" customFormat="1" spans="1:6">
      <c r="A11" s="8" t="str">
        <f>"2020890109"</f>
        <v>2020890109</v>
      </c>
      <c r="B11" s="9">
        <v>66</v>
      </c>
      <c r="C11" s="9">
        <f t="shared" si="0"/>
        <v>19.8</v>
      </c>
      <c r="D11" s="10">
        <v>77</v>
      </c>
      <c r="E11" s="9">
        <f t="shared" si="1"/>
        <v>53.9</v>
      </c>
      <c r="F11" s="9">
        <f t="shared" si="2"/>
        <v>73.7</v>
      </c>
    </row>
    <row r="12" s="1" customFormat="1" spans="1:6">
      <c r="A12" s="8" t="str">
        <f>"2020890110"</f>
        <v>2020890110</v>
      </c>
      <c r="B12" s="9">
        <v>72</v>
      </c>
      <c r="C12" s="9">
        <f t="shared" si="0"/>
        <v>21.6</v>
      </c>
      <c r="D12" s="10">
        <v>83</v>
      </c>
      <c r="E12" s="9">
        <f t="shared" si="1"/>
        <v>58.1</v>
      </c>
      <c r="F12" s="9">
        <f t="shared" si="2"/>
        <v>79.7</v>
      </c>
    </row>
    <row r="13" s="1" customFormat="1" spans="1:6">
      <c r="A13" s="8" t="str">
        <f>"2020890111"</f>
        <v>2020890111</v>
      </c>
      <c r="B13" s="9">
        <v>71</v>
      </c>
      <c r="C13" s="9">
        <f t="shared" si="0"/>
        <v>21.3</v>
      </c>
      <c r="D13" s="10">
        <v>86</v>
      </c>
      <c r="E13" s="9">
        <f t="shared" si="1"/>
        <v>60.2</v>
      </c>
      <c r="F13" s="9">
        <f t="shared" si="2"/>
        <v>81.5</v>
      </c>
    </row>
    <row r="14" s="1" customFormat="1" spans="1:6">
      <c r="A14" s="8" t="str">
        <f>"2020890112"</f>
        <v>2020890112</v>
      </c>
      <c r="B14" s="9">
        <v>56</v>
      </c>
      <c r="C14" s="9">
        <f t="shared" si="0"/>
        <v>16.8</v>
      </c>
      <c r="D14" s="10">
        <v>82</v>
      </c>
      <c r="E14" s="9">
        <f t="shared" si="1"/>
        <v>57.4</v>
      </c>
      <c r="F14" s="9">
        <f t="shared" si="2"/>
        <v>74.2</v>
      </c>
    </row>
    <row r="15" s="1" customFormat="1" spans="1:6">
      <c r="A15" s="8" t="str">
        <f>"2020890113"</f>
        <v>2020890113</v>
      </c>
      <c r="B15" s="9">
        <v>76</v>
      </c>
      <c r="C15" s="9">
        <f t="shared" si="0"/>
        <v>22.8</v>
      </c>
      <c r="D15" s="10">
        <v>82</v>
      </c>
      <c r="E15" s="9">
        <f t="shared" si="1"/>
        <v>57.4</v>
      </c>
      <c r="F15" s="9">
        <f t="shared" si="2"/>
        <v>80.2</v>
      </c>
    </row>
    <row r="16" s="1" customFormat="1" spans="1:6">
      <c r="A16" s="8" t="str">
        <f>"2020890114"</f>
        <v>2020890114</v>
      </c>
      <c r="B16" s="9">
        <v>0</v>
      </c>
      <c r="C16" s="9">
        <f t="shared" si="0"/>
        <v>0</v>
      </c>
      <c r="D16" s="10">
        <v>0</v>
      </c>
      <c r="E16" s="9">
        <f t="shared" si="1"/>
        <v>0</v>
      </c>
      <c r="F16" s="9">
        <f t="shared" si="2"/>
        <v>0</v>
      </c>
    </row>
    <row r="17" s="1" customFormat="1" spans="1:6">
      <c r="A17" s="8" t="str">
        <f>"2020890115"</f>
        <v>2020890115</v>
      </c>
      <c r="B17" s="9">
        <v>0</v>
      </c>
      <c r="C17" s="9">
        <f t="shared" si="0"/>
        <v>0</v>
      </c>
      <c r="D17" s="10">
        <v>0</v>
      </c>
      <c r="E17" s="9">
        <f t="shared" si="1"/>
        <v>0</v>
      </c>
      <c r="F17" s="9">
        <f t="shared" si="2"/>
        <v>0</v>
      </c>
    </row>
    <row r="18" s="1" customFormat="1" spans="1:6">
      <c r="A18" s="8" t="str">
        <f>"2020890116"</f>
        <v>2020890116</v>
      </c>
      <c r="B18" s="9">
        <v>73</v>
      </c>
      <c r="C18" s="9">
        <f t="shared" si="0"/>
        <v>21.9</v>
      </c>
      <c r="D18" s="10">
        <v>74</v>
      </c>
      <c r="E18" s="9">
        <f t="shared" si="1"/>
        <v>51.8</v>
      </c>
      <c r="F18" s="9">
        <f t="shared" si="2"/>
        <v>73.7</v>
      </c>
    </row>
    <row r="19" s="1" customFormat="1" spans="1:11">
      <c r="A19" s="8" t="str">
        <f>"2020890117"</f>
        <v>2020890117</v>
      </c>
      <c r="B19" s="9">
        <v>63</v>
      </c>
      <c r="C19" s="9">
        <f t="shared" si="0"/>
        <v>18.9</v>
      </c>
      <c r="D19" s="10">
        <v>85</v>
      </c>
      <c r="E19" s="9">
        <f t="shared" si="1"/>
        <v>59.5</v>
      </c>
      <c r="F19" s="9">
        <f t="shared" si="2"/>
        <v>78.4</v>
      </c>
      <c r="K19" s="12"/>
    </row>
    <row r="20" s="1" customFormat="1" spans="1:6">
      <c r="A20" s="8" t="str">
        <f>"2020890118"</f>
        <v>2020890118</v>
      </c>
      <c r="B20" s="9">
        <v>61</v>
      </c>
      <c r="C20" s="9">
        <f t="shared" si="0"/>
        <v>18.3</v>
      </c>
      <c r="D20" s="10">
        <v>80</v>
      </c>
      <c r="E20" s="9">
        <f t="shared" si="1"/>
        <v>56</v>
      </c>
      <c r="F20" s="9">
        <f t="shared" si="2"/>
        <v>74.3</v>
      </c>
    </row>
    <row r="21" s="1" customFormat="1" spans="1:6">
      <c r="A21" s="8" t="str">
        <f>"2020890119"</f>
        <v>2020890119</v>
      </c>
      <c r="B21" s="9">
        <v>67</v>
      </c>
      <c r="C21" s="9">
        <f t="shared" si="0"/>
        <v>20.1</v>
      </c>
      <c r="D21" s="10">
        <v>80</v>
      </c>
      <c r="E21" s="9">
        <f t="shared" si="1"/>
        <v>56</v>
      </c>
      <c r="F21" s="9">
        <f t="shared" si="2"/>
        <v>76.1</v>
      </c>
    </row>
    <row r="22" s="1" customFormat="1" spans="1:6">
      <c r="A22" s="8" t="str">
        <f>"2020890120"</f>
        <v>2020890120</v>
      </c>
      <c r="B22" s="9">
        <v>73</v>
      </c>
      <c r="C22" s="9">
        <f t="shared" si="0"/>
        <v>21.9</v>
      </c>
      <c r="D22" s="10">
        <v>79</v>
      </c>
      <c r="E22" s="9">
        <f t="shared" si="1"/>
        <v>55.3</v>
      </c>
      <c r="F22" s="9">
        <f t="shared" si="2"/>
        <v>77.2</v>
      </c>
    </row>
    <row r="23" s="1" customFormat="1" spans="1:6">
      <c r="A23" s="8" t="str">
        <f>"2020890121"</f>
        <v>2020890121</v>
      </c>
      <c r="B23" s="9">
        <v>56</v>
      </c>
      <c r="C23" s="9">
        <f t="shared" si="0"/>
        <v>16.8</v>
      </c>
      <c r="D23" s="10">
        <v>86</v>
      </c>
      <c r="E23" s="9">
        <f t="shared" si="1"/>
        <v>60.2</v>
      </c>
      <c r="F23" s="9">
        <f t="shared" si="2"/>
        <v>77</v>
      </c>
    </row>
    <row r="24" s="1" customFormat="1" spans="1:6">
      <c r="A24" s="8" t="str">
        <f>"2020890122"</f>
        <v>2020890122</v>
      </c>
      <c r="B24" s="9">
        <v>61</v>
      </c>
      <c r="C24" s="9">
        <f t="shared" si="0"/>
        <v>18.3</v>
      </c>
      <c r="D24" s="10">
        <v>81</v>
      </c>
      <c r="E24" s="9">
        <f t="shared" si="1"/>
        <v>56.7</v>
      </c>
      <c r="F24" s="9">
        <f t="shared" si="2"/>
        <v>75</v>
      </c>
    </row>
    <row r="25" s="1" customFormat="1" spans="1:6">
      <c r="A25" s="8" t="str">
        <f>"2020890123"</f>
        <v>2020890123</v>
      </c>
      <c r="B25" s="9">
        <v>52</v>
      </c>
      <c r="C25" s="9">
        <f t="shared" si="0"/>
        <v>15.6</v>
      </c>
      <c r="D25" s="10">
        <v>53</v>
      </c>
      <c r="E25" s="9">
        <f t="shared" si="1"/>
        <v>37.1</v>
      </c>
      <c r="F25" s="9">
        <f t="shared" si="2"/>
        <v>52.7</v>
      </c>
    </row>
    <row r="26" s="1" customFormat="1" spans="1:6">
      <c r="A26" s="8" t="str">
        <f>"2020890124"</f>
        <v>2020890124</v>
      </c>
      <c r="B26" s="9">
        <v>72</v>
      </c>
      <c r="C26" s="9">
        <f t="shared" si="0"/>
        <v>21.6</v>
      </c>
      <c r="D26" s="10">
        <v>86</v>
      </c>
      <c r="E26" s="9">
        <f t="shared" si="1"/>
        <v>60.2</v>
      </c>
      <c r="F26" s="9">
        <f t="shared" si="2"/>
        <v>81.8</v>
      </c>
    </row>
    <row r="27" s="1" customFormat="1" spans="1:6">
      <c r="A27" s="8" t="str">
        <f>"2020890125"</f>
        <v>2020890125</v>
      </c>
      <c r="B27" s="9">
        <v>64</v>
      </c>
      <c r="C27" s="9">
        <f t="shared" si="0"/>
        <v>19.2</v>
      </c>
      <c r="D27" s="10">
        <v>87</v>
      </c>
      <c r="E27" s="9">
        <f t="shared" si="1"/>
        <v>60.9</v>
      </c>
      <c r="F27" s="9">
        <f t="shared" si="2"/>
        <v>80.1</v>
      </c>
    </row>
    <row r="28" s="1" customFormat="1" spans="1:6">
      <c r="A28" s="8" t="str">
        <f>"2020890126"</f>
        <v>2020890126</v>
      </c>
      <c r="B28" s="9">
        <v>73</v>
      </c>
      <c r="C28" s="9">
        <f t="shared" si="0"/>
        <v>21.9</v>
      </c>
      <c r="D28" s="10">
        <v>95</v>
      </c>
      <c r="E28" s="9">
        <f t="shared" si="1"/>
        <v>66.5</v>
      </c>
      <c r="F28" s="9">
        <f t="shared" si="2"/>
        <v>88.4</v>
      </c>
    </row>
    <row r="29" s="1" customFormat="1" spans="1:6">
      <c r="A29" s="8" t="str">
        <f>"2020890127"</f>
        <v>2020890127</v>
      </c>
      <c r="B29" s="9">
        <v>0</v>
      </c>
      <c r="C29" s="9">
        <f t="shared" si="0"/>
        <v>0</v>
      </c>
      <c r="D29" s="10">
        <v>0</v>
      </c>
      <c r="E29" s="9">
        <f t="shared" si="1"/>
        <v>0</v>
      </c>
      <c r="F29" s="9">
        <f t="shared" si="2"/>
        <v>0</v>
      </c>
    </row>
    <row r="30" s="1" customFormat="1" spans="1:6">
      <c r="A30" s="8" t="str">
        <f>"2020890128"</f>
        <v>2020890128</v>
      </c>
      <c r="B30" s="9">
        <v>78</v>
      </c>
      <c r="C30" s="9">
        <f t="shared" si="0"/>
        <v>23.4</v>
      </c>
      <c r="D30" s="10">
        <v>89</v>
      </c>
      <c r="E30" s="9">
        <f t="shared" si="1"/>
        <v>62.3</v>
      </c>
      <c r="F30" s="9">
        <f t="shared" si="2"/>
        <v>85.7</v>
      </c>
    </row>
    <row r="31" s="1" customFormat="1" spans="1:6">
      <c r="A31" s="8" t="str">
        <f>"2020890129"</f>
        <v>2020890129</v>
      </c>
      <c r="B31" s="9">
        <v>70</v>
      </c>
      <c r="C31" s="9">
        <f t="shared" si="0"/>
        <v>21</v>
      </c>
      <c r="D31" s="10">
        <v>90</v>
      </c>
      <c r="E31" s="9">
        <f t="shared" si="1"/>
        <v>63</v>
      </c>
      <c r="F31" s="9">
        <f t="shared" si="2"/>
        <v>84</v>
      </c>
    </row>
    <row r="32" s="1" customFormat="1" spans="1:6">
      <c r="A32" s="8" t="str">
        <f>"2020890130"</f>
        <v>2020890130</v>
      </c>
      <c r="B32" s="9">
        <v>83</v>
      </c>
      <c r="C32" s="9">
        <f t="shared" si="0"/>
        <v>24.9</v>
      </c>
      <c r="D32" s="10">
        <v>75</v>
      </c>
      <c r="E32" s="9">
        <f t="shared" si="1"/>
        <v>52.5</v>
      </c>
      <c r="F32" s="9">
        <f t="shared" si="2"/>
        <v>77.4</v>
      </c>
    </row>
    <row r="33" s="1" customFormat="1" spans="1:6">
      <c r="A33" s="8" t="str">
        <f>"2020890201"</f>
        <v>2020890201</v>
      </c>
      <c r="B33" s="9">
        <v>0</v>
      </c>
      <c r="C33" s="9">
        <f t="shared" si="0"/>
        <v>0</v>
      </c>
      <c r="D33" s="10">
        <v>0</v>
      </c>
      <c r="E33" s="9">
        <f t="shared" si="1"/>
        <v>0</v>
      </c>
      <c r="F33" s="9">
        <f t="shared" si="2"/>
        <v>0</v>
      </c>
    </row>
    <row r="34" s="1" customFormat="1" spans="1:6">
      <c r="A34" s="8" t="str">
        <f>"2020890202"</f>
        <v>2020890202</v>
      </c>
      <c r="B34" s="9">
        <v>68</v>
      </c>
      <c r="C34" s="9">
        <f t="shared" si="0"/>
        <v>20.4</v>
      </c>
      <c r="D34" s="10">
        <v>66</v>
      </c>
      <c r="E34" s="9">
        <f t="shared" si="1"/>
        <v>46.2</v>
      </c>
      <c r="F34" s="9">
        <f t="shared" si="2"/>
        <v>66.6</v>
      </c>
    </row>
    <row r="35" s="1" customFormat="1" spans="1:6">
      <c r="A35" s="8" t="str">
        <f>"2020890203"</f>
        <v>2020890203</v>
      </c>
      <c r="B35" s="9">
        <v>0</v>
      </c>
      <c r="C35" s="9">
        <f t="shared" si="0"/>
        <v>0</v>
      </c>
      <c r="D35" s="10">
        <v>0</v>
      </c>
      <c r="E35" s="9">
        <f t="shared" si="1"/>
        <v>0</v>
      </c>
      <c r="F35" s="9">
        <f t="shared" si="2"/>
        <v>0</v>
      </c>
    </row>
    <row r="36" s="1" customFormat="1" spans="1:6">
      <c r="A36" s="8" t="str">
        <f>"2020890204"</f>
        <v>2020890204</v>
      </c>
      <c r="B36" s="9">
        <v>57</v>
      </c>
      <c r="C36" s="9">
        <f t="shared" si="0"/>
        <v>17.1</v>
      </c>
      <c r="D36" s="10">
        <v>64</v>
      </c>
      <c r="E36" s="9">
        <f t="shared" si="1"/>
        <v>44.8</v>
      </c>
      <c r="F36" s="9">
        <f t="shared" si="2"/>
        <v>61.9</v>
      </c>
    </row>
    <row r="37" s="1" customFormat="1" spans="1:6">
      <c r="A37" s="8" t="str">
        <f>"2020890205"</f>
        <v>2020890205</v>
      </c>
      <c r="B37" s="9">
        <v>59</v>
      </c>
      <c r="C37" s="9">
        <f t="shared" si="0"/>
        <v>17.7</v>
      </c>
      <c r="D37" s="10">
        <v>78</v>
      </c>
      <c r="E37" s="9">
        <f t="shared" si="1"/>
        <v>54.6</v>
      </c>
      <c r="F37" s="9">
        <f t="shared" si="2"/>
        <v>72.3</v>
      </c>
    </row>
    <row r="38" s="1" customFormat="1" spans="1:6">
      <c r="A38" s="8" t="str">
        <f>"2020890206"</f>
        <v>2020890206</v>
      </c>
      <c r="B38" s="9">
        <v>73</v>
      </c>
      <c r="C38" s="9">
        <f t="shared" si="0"/>
        <v>21.9</v>
      </c>
      <c r="D38" s="10">
        <v>83</v>
      </c>
      <c r="E38" s="9">
        <f t="shared" si="1"/>
        <v>58.1</v>
      </c>
      <c r="F38" s="9">
        <f t="shared" si="2"/>
        <v>80</v>
      </c>
    </row>
    <row r="39" s="1" customFormat="1" spans="1:6">
      <c r="A39" s="8" t="str">
        <f>"2020890207"</f>
        <v>2020890207</v>
      </c>
      <c r="B39" s="9">
        <v>0</v>
      </c>
      <c r="C39" s="9">
        <f t="shared" si="0"/>
        <v>0</v>
      </c>
      <c r="D39" s="10">
        <v>0</v>
      </c>
      <c r="E39" s="9">
        <f t="shared" si="1"/>
        <v>0</v>
      </c>
      <c r="F39" s="9">
        <f t="shared" si="2"/>
        <v>0</v>
      </c>
    </row>
    <row r="40" s="1" customFormat="1" spans="1:6">
      <c r="A40" s="8" t="str">
        <f>"2020890208"</f>
        <v>2020890208</v>
      </c>
      <c r="B40" s="9">
        <v>0</v>
      </c>
      <c r="C40" s="9">
        <f t="shared" si="0"/>
        <v>0</v>
      </c>
      <c r="D40" s="10">
        <v>0</v>
      </c>
      <c r="E40" s="9">
        <f t="shared" si="1"/>
        <v>0</v>
      </c>
      <c r="F40" s="9">
        <f t="shared" si="2"/>
        <v>0</v>
      </c>
    </row>
    <row r="41" s="1" customFormat="1" spans="1:6">
      <c r="A41" s="8" t="str">
        <f>"2020890209"</f>
        <v>2020890209</v>
      </c>
      <c r="B41" s="9">
        <v>65</v>
      </c>
      <c r="C41" s="9">
        <f t="shared" si="0"/>
        <v>19.5</v>
      </c>
      <c r="D41" s="10">
        <v>79</v>
      </c>
      <c r="E41" s="9">
        <f t="shared" si="1"/>
        <v>55.3</v>
      </c>
      <c r="F41" s="9">
        <f t="shared" si="2"/>
        <v>74.8</v>
      </c>
    </row>
    <row r="42" s="1" customFormat="1" spans="1:6">
      <c r="A42" s="8" t="str">
        <f>"2020890210"</f>
        <v>2020890210</v>
      </c>
      <c r="B42" s="9">
        <v>0</v>
      </c>
      <c r="C42" s="9">
        <f t="shared" si="0"/>
        <v>0</v>
      </c>
      <c r="D42" s="10">
        <v>0</v>
      </c>
      <c r="E42" s="9">
        <f t="shared" si="1"/>
        <v>0</v>
      </c>
      <c r="F42" s="9">
        <f t="shared" si="2"/>
        <v>0</v>
      </c>
    </row>
    <row r="43" s="1" customFormat="1" spans="1:6">
      <c r="A43" s="8" t="str">
        <f>"2020890211"</f>
        <v>2020890211</v>
      </c>
      <c r="B43" s="9">
        <v>65</v>
      </c>
      <c r="C43" s="9">
        <f t="shared" si="0"/>
        <v>19.5</v>
      </c>
      <c r="D43" s="10">
        <v>89</v>
      </c>
      <c r="E43" s="9">
        <f t="shared" si="1"/>
        <v>62.3</v>
      </c>
      <c r="F43" s="9">
        <f t="shared" si="2"/>
        <v>81.8</v>
      </c>
    </row>
    <row r="44" s="1" customFormat="1" spans="1:6">
      <c r="A44" s="8" t="str">
        <f>"2020890212"</f>
        <v>2020890212</v>
      </c>
      <c r="B44" s="9">
        <v>0</v>
      </c>
      <c r="C44" s="9">
        <f t="shared" si="0"/>
        <v>0</v>
      </c>
      <c r="D44" s="10">
        <v>0</v>
      </c>
      <c r="E44" s="9">
        <f t="shared" si="1"/>
        <v>0</v>
      </c>
      <c r="F44" s="9">
        <f t="shared" si="2"/>
        <v>0</v>
      </c>
    </row>
    <row r="45" s="1" customFormat="1" spans="1:6">
      <c r="A45" s="8" t="str">
        <f>"2020890213"</f>
        <v>2020890213</v>
      </c>
      <c r="B45" s="9">
        <v>65</v>
      </c>
      <c r="C45" s="9">
        <f t="shared" si="0"/>
        <v>19.5</v>
      </c>
      <c r="D45" s="10">
        <v>80</v>
      </c>
      <c r="E45" s="9">
        <f t="shared" si="1"/>
        <v>56</v>
      </c>
      <c r="F45" s="9">
        <f t="shared" si="2"/>
        <v>75.5</v>
      </c>
    </row>
    <row r="46" s="1" customFormat="1" spans="1:6">
      <c r="A46" s="8" t="str">
        <f>"2020890214"</f>
        <v>2020890214</v>
      </c>
      <c r="B46" s="9">
        <v>73</v>
      </c>
      <c r="C46" s="9">
        <f t="shared" si="0"/>
        <v>21.9</v>
      </c>
      <c r="D46" s="10">
        <v>93</v>
      </c>
      <c r="E46" s="9">
        <f t="shared" si="1"/>
        <v>65.1</v>
      </c>
      <c r="F46" s="9">
        <f t="shared" si="2"/>
        <v>87</v>
      </c>
    </row>
    <row r="47" s="1" customFormat="1" spans="1:6">
      <c r="A47" s="8" t="str">
        <f>"2020890215"</f>
        <v>2020890215</v>
      </c>
      <c r="B47" s="9">
        <v>55</v>
      </c>
      <c r="C47" s="9">
        <f t="shared" si="0"/>
        <v>16.5</v>
      </c>
      <c r="D47" s="10">
        <v>80</v>
      </c>
      <c r="E47" s="9">
        <f t="shared" si="1"/>
        <v>56</v>
      </c>
      <c r="F47" s="9">
        <f t="shared" si="2"/>
        <v>72.5</v>
      </c>
    </row>
    <row r="48" s="1" customFormat="1" spans="1:6">
      <c r="A48" s="8" t="str">
        <f>"2020890216"</f>
        <v>2020890216</v>
      </c>
      <c r="B48" s="9">
        <v>73</v>
      </c>
      <c r="C48" s="9">
        <f t="shared" si="0"/>
        <v>21.9</v>
      </c>
      <c r="D48" s="10">
        <v>94</v>
      </c>
      <c r="E48" s="9">
        <f t="shared" si="1"/>
        <v>65.8</v>
      </c>
      <c r="F48" s="9">
        <f t="shared" si="2"/>
        <v>87.7</v>
      </c>
    </row>
    <row r="49" s="1" customFormat="1" spans="1:6">
      <c r="A49" s="8" t="str">
        <f>"2020890217"</f>
        <v>2020890217</v>
      </c>
      <c r="B49" s="9">
        <v>70</v>
      </c>
      <c r="C49" s="9">
        <f t="shared" si="0"/>
        <v>21</v>
      </c>
      <c r="D49" s="10">
        <v>84</v>
      </c>
      <c r="E49" s="9">
        <f t="shared" si="1"/>
        <v>58.8</v>
      </c>
      <c r="F49" s="9">
        <f t="shared" si="2"/>
        <v>79.8</v>
      </c>
    </row>
    <row r="50" s="1" customFormat="1" spans="1:6">
      <c r="A50" s="8" t="str">
        <f>"2020890218"</f>
        <v>2020890218</v>
      </c>
      <c r="B50" s="9">
        <v>0</v>
      </c>
      <c r="C50" s="9">
        <f t="shared" si="0"/>
        <v>0</v>
      </c>
      <c r="D50" s="10">
        <v>0</v>
      </c>
      <c r="E50" s="9">
        <f t="shared" si="1"/>
        <v>0</v>
      </c>
      <c r="F50" s="9">
        <f t="shared" si="2"/>
        <v>0</v>
      </c>
    </row>
    <row r="51" s="1" customFormat="1" spans="1:6">
      <c r="A51" s="8" t="str">
        <f>"2020890219"</f>
        <v>2020890219</v>
      </c>
      <c r="B51" s="9">
        <v>67</v>
      </c>
      <c r="C51" s="9">
        <f t="shared" si="0"/>
        <v>20.1</v>
      </c>
      <c r="D51" s="10">
        <v>86</v>
      </c>
      <c r="E51" s="9">
        <f t="shared" si="1"/>
        <v>60.2</v>
      </c>
      <c r="F51" s="9">
        <f t="shared" si="2"/>
        <v>80.3</v>
      </c>
    </row>
    <row r="52" s="1" customFormat="1" spans="1:6">
      <c r="A52" s="8" t="str">
        <f>"2020890220"</f>
        <v>2020890220</v>
      </c>
      <c r="B52" s="9">
        <v>0</v>
      </c>
      <c r="C52" s="9">
        <f t="shared" si="0"/>
        <v>0</v>
      </c>
      <c r="D52" s="10">
        <v>0</v>
      </c>
      <c r="E52" s="9">
        <f t="shared" si="1"/>
        <v>0</v>
      </c>
      <c r="F52" s="9">
        <f t="shared" si="2"/>
        <v>0</v>
      </c>
    </row>
    <row r="53" s="1" customFormat="1" spans="1:6">
      <c r="A53" s="8" t="str">
        <f>"2020890221"</f>
        <v>2020890221</v>
      </c>
      <c r="B53" s="9">
        <v>73</v>
      </c>
      <c r="C53" s="9">
        <f t="shared" si="0"/>
        <v>21.9</v>
      </c>
      <c r="D53" s="10">
        <v>69</v>
      </c>
      <c r="E53" s="9">
        <f t="shared" si="1"/>
        <v>48.3</v>
      </c>
      <c r="F53" s="9">
        <f t="shared" si="2"/>
        <v>70.2</v>
      </c>
    </row>
    <row r="54" s="1" customFormat="1" spans="1:6">
      <c r="A54" s="8" t="str">
        <f>"2020890222"</f>
        <v>2020890222</v>
      </c>
      <c r="B54" s="9">
        <v>68</v>
      </c>
      <c r="C54" s="9">
        <f t="shared" si="0"/>
        <v>20.4</v>
      </c>
      <c r="D54" s="10">
        <v>88</v>
      </c>
      <c r="E54" s="9">
        <f t="shared" si="1"/>
        <v>61.6</v>
      </c>
      <c r="F54" s="9">
        <f t="shared" si="2"/>
        <v>82</v>
      </c>
    </row>
    <row r="55" s="1" customFormat="1" spans="1:6">
      <c r="A55" s="8" t="str">
        <f>"2020890223"</f>
        <v>2020890223</v>
      </c>
      <c r="B55" s="9">
        <v>72</v>
      </c>
      <c r="C55" s="9">
        <f t="shared" si="0"/>
        <v>21.6</v>
      </c>
      <c r="D55" s="10">
        <v>87</v>
      </c>
      <c r="E55" s="9">
        <f t="shared" si="1"/>
        <v>60.9</v>
      </c>
      <c r="F55" s="9">
        <f t="shared" si="2"/>
        <v>82.5</v>
      </c>
    </row>
    <row r="56" s="1" customFormat="1" spans="1:6">
      <c r="A56" s="8" t="str">
        <f>"2020890224"</f>
        <v>2020890224</v>
      </c>
      <c r="B56" s="9">
        <v>65</v>
      </c>
      <c r="C56" s="9">
        <f t="shared" si="0"/>
        <v>19.5</v>
      </c>
      <c r="D56" s="10">
        <v>71</v>
      </c>
      <c r="E56" s="9">
        <f t="shared" si="1"/>
        <v>49.7</v>
      </c>
      <c r="F56" s="9">
        <f t="shared" si="2"/>
        <v>69.2</v>
      </c>
    </row>
    <row r="57" s="1" customFormat="1" spans="1:6">
      <c r="A57" s="8" t="str">
        <f>"2020890225"</f>
        <v>2020890225</v>
      </c>
      <c r="B57" s="9">
        <v>69</v>
      </c>
      <c r="C57" s="9">
        <f t="shared" si="0"/>
        <v>20.7</v>
      </c>
      <c r="D57" s="10">
        <v>79</v>
      </c>
      <c r="E57" s="9">
        <f t="shared" si="1"/>
        <v>55.3</v>
      </c>
      <c r="F57" s="9">
        <f t="shared" si="2"/>
        <v>76</v>
      </c>
    </row>
    <row r="58" s="1" customFormat="1" spans="1:6">
      <c r="A58" s="8" t="str">
        <f>"2020890226"</f>
        <v>2020890226</v>
      </c>
      <c r="B58" s="9">
        <v>0</v>
      </c>
      <c r="C58" s="9">
        <f t="shared" si="0"/>
        <v>0</v>
      </c>
      <c r="D58" s="10">
        <v>0</v>
      </c>
      <c r="E58" s="9">
        <f t="shared" si="1"/>
        <v>0</v>
      </c>
      <c r="F58" s="9">
        <f t="shared" si="2"/>
        <v>0</v>
      </c>
    </row>
    <row r="59" s="1" customFormat="1" spans="1:6">
      <c r="A59" s="8" t="str">
        <f>"2020890227"</f>
        <v>2020890227</v>
      </c>
      <c r="B59" s="9">
        <v>0</v>
      </c>
      <c r="C59" s="9">
        <f t="shared" si="0"/>
        <v>0</v>
      </c>
      <c r="D59" s="10">
        <v>0</v>
      </c>
      <c r="E59" s="9">
        <f t="shared" si="1"/>
        <v>0</v>
      </c>
      <c r="F59" s="9">
        <f t="shared" si="2"/>
        <v>0</v>
      </c>
    </row>
    <row r="60" s="1" customFormat="1" spans="1:6">
      <c r="A60" s="8" t="str">
        <f>"2020890228"</f>
        <v>2020890228</v>
      </c>
      <c r="B60" s="9">
        <v>68</v>
      </c>
      <c r="C60" s="9">
        <f t="shared" si="0"/>
        <v>20.4</v>
      </c>
      <c r="D60" s="10">
        <v>66</v>
      </c>
      <c r="E60" s="9">
        <f t="shared" si="1"/>
        <v>46.2</v>
      </c>
      <c r="F60" s="9">
        <f t="shared" si="2"/>
        <v>66.6</v>
      </c>
    </row>
    <row r="61" s="1" customFormat="1" spans="1:6">
      <c r="A61" s="8" t="str">
        <f>"2020890229"</f>
        <v>2020890229</v>
      </c>
      <c r="B61" s="9">
        <v>64</v>
      </c>
      <c r="C61" s="9">
        <f t="shared" si="0"/>
        <v>19.2</v>
      </c>
      <c r="D61" s="10">
        <v>83</v>
      </c>
      <c r="E61" s="9">
        <f t="shared" si="1"/>
        <v>58.1</v>
      </c>
      <c r="F61" s="9">
        <f t="shared" si="2"/>
        <v>77.3</v>
      </c>
    </row>
    <row r="62" s="1" customFormat="1" spans="1:6">
      <c r="A62" s="8" t="str">
        <f>"2020890230"</f>
        <v>2020890230</v>
      </c>
      <c r="B62" s="9">
        <v>60</v>
      </c>
      <c r="C62" s="9">
        <f t="shared" si="0"/>
        <v>18</v>
      </c>
      <c r="D62" s="10">
        <v>65</v>
      </c>
      <c r="E62" s="9">
        <f t="shared" si="1"/>
        <v>45.5</v>
      </c>
      <c r="F62" s="9">
        <f t="shared" si="2"/>
        <v>63.5</v>
      </c>
    </row>
    <row r="63" s="1" customFormat="1" spans="1:6">
      <c r="A63" s="8" t="str">
        <f>"2020890301"</f>
        <v>2020890301</v>
      </c>
      <c r="B63" s="9">
        <v>67</v>
      </c>
      <c r="C63" s="9">
        <f t="shared" si="0"/>
        <v>20.1</v>
      </c>
      <c r="D63" s="10">
        <v>90</v>
      </c>
      <c r="E63" s="9">
        <f t="shared" si="1"/>
        <v>63</v>
      </c>
      <c r="F63" s="9">
        <f t="shared" si="2"/>
        <v>83.1</v>
      </c>
    </row>
    <row r="64" s="1" customFormat="1" spans="1:6">
      <c r="A64" s="8" t="str">
        <f>"2020890302"</f>
        <v>2020890302</v>
      </c>
      <c r="B64" s="9">
        <v>58</v>
      </c>
      <c r="C64" s="9">
        <f t="shared" si="0"/>
        <v>17.4</v>
      </c>
      <c r="D64" s="10">
        <v>75</v>
      </c>
      <c r="E64" s="9">
        <f t="shared" si="1"/>
        <v>52.5</v>
      </c>
      <c r="F64" s="9">
        <f t="shared" si="2"/>
        <v>69.9</v>
      </c>
    </row>
    <row r="65" s="1" customFormat="1" spans="1:6">
      <c r="A65" s="8" t="str">
        <f>"2020890303"</f>
        <v>2020890303</v>
      </c>
      <c r="B65" s="9">
        <v>0</v>
      </c>
      <c r="C65" s="9">
        <f t="shared" si="0"/>
        <v>0</v>
      </c>
      <c r="D65" s="10">
        <v>0</v>
      </c>
      <c r="E65" s="9">
        <f t="shared" si="1"/>
        <v>0</v>
      </c>
      <c r="F65" s="9">
        <f t="shared" si="2"/>
        <v>0</v>
      </c>
    </row>
    <row r="66" s="1" customFormat="1" spans="1:6">
      <c r="A66" s="8" t="str">
        <f>"2020890304"</f>
        <v>2020890304</v>
      </c>
      <c r="B66" s="9">
        <v>0</v>
      </c>
      <c r="C66" s="9">
        <f t="shared" si="0"/>
        <v>0</v>
      </c>
      <c r="D66" s="10">
        <v>0</v>
      </c>
      <c r="E66" s="9">
        <f t="shared" si="1"/>
        <v>0</v>
      </c>
      <c r="F66" s="9">
        <f t="shared" si="2"/>
        <v>0</v>
      </c>
    </row>
    <row r="67" s="1" customFormat="1" spans="1:6">
      <c r="A67" s="8" t="str">
        <f>"2020890305"</f>
        <v>2020890305</v>
      </c>
      <c r="B67" s="9">
        <v>65</v>
      </c>
      <c r="C67" s="9">
        <f t="shared" ref="C67:C130" si="3">B67*0.3</f>
        <v>19.5</v>
      </c>
      <c r="D67" s="10">
        <v>80</v>
      </c>
      <c r="E67" s="9">
        <f t="shared" ref="E67:E130" si="4">D67*0.7</f>
        <v>56</v>
      </c>
      <c r="F67" s="9">
        <f t="shared" ref="F67:F130" si="5">C67+E67</f>
        <v>75.5</v>
      </c>
    </row>
    <row r="68" s="1" customFormat="1" spans="1:6">
      <c r="A68" s="8" t="str">
        <f>"2020890306"</f>
        <v>2020890306</v>
      </c>
      <c r="B68" s="9">
        <v>59</v>
      </c>
      <c r="C68" s="9">
        <f t="shared" si="3"/>
        <v>17.7</v>
      </c>
      <c r="D68" s="10">
        <v>86</v>
      </c>
      <c r="E68" s="9">
        <f t="shared" si="4"/>
        <v>60.2</v>
      </c>
      <c r="F68" s="9">
        <f t="shared" si="5"/>
        <v>77.9</v>
      </c>
    </row>
    <row r="69" s="1" customFormat="1" spans="1:6">
      <c r="A69" s="8" t="str">
        <f>"2020890307"</f>
        <v>2020890307</v>
      </c>
      <c r="B69" s="9">
        <v>0</v>
      </c>
      <c r="C69" s="9">
        <f t="shared" si="3"/>
        <v>0</v>
      </c>
      <c r="D69" s="10">
        <v>0</v>
      </c>
      <c r="E69" s="9">
        <f t="shared" si="4"/>
        <v>0</v>
      </c>
      <c r="F69" s="9">
        <f t="shared" si="5"/>
        <v>0</v>
      </c>
    </row>
    <row r="70" s="1" customFormat="1" spans="1:6">
      <c r="A70" s="8" t="str">
        <f>"2020890308"</f>
        <v>2020890308</v>
      </c>
      <c r="B70" s="9">
        <v>74</v>
      </c>
      <c r="C70" s="9">
        <f t="shared" si="3"/>
        <v>22.2</v>
      </c>
      <c r="D70" s="10">
        <v>91</v>
      </c>
      <c r="E70" s="9">
        <f t="shared" si="4"/>
        <v>63.7</v>
      </c>
      <c r="F70" s="9">
        <f t="shared" si="5"/>
        <v>85.9</v>
      </c>
    </row>
    <row r="71" s="1" customFormat="1" spans="1:6">
      <c r="A71" s="8" t="str">
        <f>"2020890309"</f>
        <v>2020890309</v>
      </c>
      <c r="B71" s="9">
        <v>0</v>
      </c>
      <c r="C71" s="9">
        <f t="shared" si="3"/>
        <v>0</v>
      </c>
      <c r="D71" s="10">
        <v>0</v>
      </c>
      <c r="E71" s="9">
        <f t="shared" si="4"/>
        <v>0</v>
      </c>
      <c r="F71" s="9">
        <f t="shared" si="5"/>
        <v>0</v>
      </c>
    </row>
    <row r="72" s="1" customFormat="1" spans="1:6">
      <c r="A72" s="8" t="str">
        <f>"2020890310"</f>
        <v>2020890310</v>
      </c>
      <c r="B72" s="9">
        <v>61</v>
      </c>
      <c r="C72" s="9">
        <f t="shared" si="3"/>
        <v>18.3</v>
      </c>
      <c r="D72" s="10">
        <v>72</v>
      </c>
      <c r="E72" s="9">
        <f t="shared" si="4"/>
        <v>50.4</v>
      </c>
      <c r="F72" s="9">
        <f t="shared" si="5"/>
        <v>68.7</v>
      </c>
    </row>
    <row r="73" s="1" customFormat="1" spans="1:6">
      <c r="A73" s="8" t="str">
        <f>"2020890311"</f>
        <v>2020890311</v>
      </c>
      <c r="B73" s="9">
        <v>0</v>
      </c>
      <c r="C73" s="9">
        <f t="shared" si="3"/>
        <v>0</v>
      </c>
      <c r="D73" s="10">
        <v>0</v>
      </c>
      <c r="E73" s="9">
        <f t="shared" si="4"/>
        <v>0</v>
      </c>
      <c r="F73" s="9">
        <f t="shared" si="5"/>
        <v>0</v>
      </c>
    </row>
    <row r="74" s="1" customFormat="1" spans="1:6">
      <c r="A74" s="8" t="str">
        <f>"2020890312"</f>
        <v>2020890312</v>
      </c>
      <c r="B74" s="9">
        <v>55</v>
      </c>
      <c r="C74" s="9">
        <f t="shared" si="3"/>
        <v>16.5</v>
      </c>
      <c r="D74" s="10">
        <v>81</v>
      </c>
      <c r="E74" s="9">
        <f t="shared" si="4"/>
        <v>56.7</v>
      </c>
      <c r="F74" s="9">
        <f t="shared" si="5"/>
        <v>73.2</v>
      </c>
    </row>
    <row r="75" s="1" customFormat="1" spans="1:6">
      <c r="A75" s="8" t="str">
        <f>"2020890313"</f>
        <v>2020890313</v>
      </c>
      <c r="B75" s="9">
        <v>71</v>
      </c>
      <c r="C75" s="9">
        <f t="shared" si="3"/>
        <v>21.3</v>
      </c>
      <c r="D75" s="10">
        <v>85</v>
      </c>
      <c r="E75" s="9">
        <f t="shared" si="4"/>
        <v>59.5</v>
      </c>
      <c r="F75" s="9">
        <f t="shared" si="5"/>
        <v>80.8</v>
      </c>
    </row>
    <row r="76" s="1" customFormat="1" spans="1:6">
      <c r="A76" s="8" t="str">
        <f>"2020890314"</f>
        <v>2020890314</v>
      </c>
      <c r="B76" s="9">
        <v>73</v>
      </c>
      <c r="C76" s="9">
        <f t="shared" si="3"/>
        <v>21.9</v>
      </c>
      <c r="D76" s="10">
        <v>88</v>
      </c>
      <c r="E76" s="9">
        <f t="shared" si="4"/>
        <v>61.6</v>
      </c>
      <c r="F76" s="9">
        <f t="shared" si="5"/>
        <v>83.5</v>
      </c>
    </row>
    <row r="77" s="1" customFormat="1" spans="1:6">
      <c r="A77" s="8" t="str">
        <f>"2020890315"</f>
        <v>2020890315</v>
      </c>
      <c r="B77" s="9">
        <v>0</v>
      </c>
      <c r="C77" s="9">
        <f t="shared" si="3"/>
        <v>0</v>
      </c>
      <c r="D77" s="10">
        <v>0</v>
      </c>
      <c r="E77" s="9">
        <f t="shared" si="4"/>
        <v>0</v>
      </c>
      <c r="F77" s="9">
        <f t="shared" si="5"/>
        <v>0</v>
      </c>
    </row>
    <row r="78" s="1" customFormat="1" spans="1:6">
      <c r="A78" s="8" t="str">
        <f>"2020890316"</f>
        <v>2020890316</v>
      </c>
      <c r="B78" s="9">
        <v>80</v>
      </c>
      <c r="C78" s="9">
        <f t="shared" si="3"/>
        <v>24</v>
      </c>
      <c r="D78" s="10">
        <v>67</v>
      </c>
      <c r="E78" s="9">
        <f t="shared" si="4"/>
        <v>46.9</v>
      </c>
      <c r="F78" s="9">
        <f t="shared" si="5"/>
        <v>70.9</v>
      </c>
    </row>
    <row r="79" s="1" customFormat="1" spans="1:6">
      <c r="A79" s="8" t="str">
        <f>"2020890317"</f>
        <v>2020890317</v>
      </c>
      <c r="B79" s="9">
        <v>0</v>
      </c>
      <c r="C79" s="9">
        <f t="shared" si="3"/>
        <v>0</v>
      </c>
      <c r="D79" s="10">
        <v>0</v>
      </c>
      <c r="E79" s="9">
        <f t="shared" si="4"/>
        <v>0</v>
      </c>
      <c r="F79" s="9">
        <f t="shared" si="5"/>
        <v>0</v>
      </c>
    </row>
    <row r="80" s="1" customFormat="1" spans="1:6">
      <c r="A80" s="8" t="str">
        <f>"2020890318"</f>
        <v>2020890318</v>
      </c>
      <c r="B80" s="9">
        <v>0</v>
      </c>
      <c r="C80" s="9">
        <f t="shared" si="3"/>
        <v>0</v>
      </c>
      <c r="D80" s="10">
        <v>0</v>
      </c>
      <c r="E80" s="9">
        <f t="shared" si="4"/>
        <v>0</v>
      </c>
      <c r="F80" s="9">
        <f t="shared" si="5"/>
        <v>0</v>
      </c>
    </row>
    <row r="81" s="1" customFormat="1" spans="1:6">
      <c r="A81" s="8" t="str">
        <f>"2020890319"</f>
        <v>2020890319</v>
      </c>
      <c r="B81" s="9">
        <v>80</v>
      </c>
      <c r="C81" s="9">
        <f t="shared" si="3"/>
        <v>24</v>
      </c>
      <c r="D81" s="10">
        <v>78</v>
      </c>
      <c r="E81" s="9">
        <f t="shared" si="4"/>
        <v>54.6</v>
      </c>
      <c r="F81" s="9">
        <f t="shared" si="5"/>
        <v>78.6</v>
      </c>
    </row>
    <row r="82" s="1" customFormat="1" spans="1:6">
      <c r="A82" s="8" t="str">
        <f>"2020890320"</f>
        <v>2020890320</v>
      </c>
      <c r="B82" s="9">
        <v>58</v>
      </c>
      <c r="C82" s="9">
        <f t="shared" si="3"/>
        <v>17.4</v>
      </c>
      <c r="D82" s="10">
        <v>78</v>
      </c>
      <c r="E82" s="9">
        <f t="shared" si="4"/>
        <v>54.6</v>
      </c>
      <c r="F82" s="9">
        <f t="shared" si="5"/>
        <v>72</v>
      </c>
    </row>
    <row r="83" s="1" customFormat="1" spans="1:6">
      <c r="A83" s="8" t="str">
        <f>"2020890321"</f>
        <v>2020890321</v>
      </c>
      <c r="B83" s="9">
        <v>55</v>
      </c>
      <c r="C83" s="9">
        <f t="shared" si="3"/>
        <v>16.5</v>
      </c>
      <c r="D83" s="10">
        <v>89</v>
      </c>
      <c r="E83" s="9">
        <f t="shared" si="4"/>
        <v>62.3</v>
      </c>
      <c r="F83" s="9">
        <f t="shared" si="5"/>
        <v>78.8</v>
      </c>
    </row>
    <row r="84" s="1" customFormat="1" spans="1:6">
      <c r="A84" s="8" t="str">
        <f>"2020890322"</f>
        <v>2020890322</v>
      </c>
      <c r="B84" s="9">
        <v>55</v>
      </c>
      <c r="C84" s="9">
        <f t="shared" si="3"/>
        <v>16.5</v>
      </c>
      <c r="D84" s="10">
        <v>53</v>
      </c>
      <c r="E84" s="9">
        <f t="shared" si="4"/>
        <v>37.1</v>
      </c>
      <c r="F84" s="9">
        <f t="shared" si="5"/>
        <v>53.6</v>
      </c>
    </row>
    <row r="85" s="1" customFormat="1" spans="1:6">
      <c r="A85" s="8" t="str">
        <f>"2020890323"</f>
        <v>2020890323</v>
      </c>
      <c r="B85" s="9">
        <v>0</v>
      </c>
      <c r="C85" s="9">
        <f t="shared" si="3"/>
        <v>0</v>
      </c>
      <c r="D85" s="10">
        <v>0</v>
      </c>
      <c r="E85" s="9">
        <f t="shared" si="4"/>
        <v>0</v>
      </c>
      <c r="F85" s="9">
        <f t="shared" si="5"/>
        <v>0</v>
      </c>
    </row>
    <row r="86" s="1" customFormat="1" spans="1:6">
      <c r="A86" s="8" t="str">
        <f>"2020890324"</f>
        <v>2020890324</v>
      </c>
      <c r="B86" s="9">
        <v>63</v>
      </c>
      <c r="C86" s="9">
        <f t="shared" si="3"/>
        <v>18.9</v>
      </c>
      <c r="D86" s="10">
        <v>81</v>
      </c>
      <c r="E86" s="9">
        <f t="shared" si="4"/>
        <v>56.7</v>
      </c>
      <c r="F86" s="9">
        <f t="shared" si="5"/>
        <v>75.6</v>
      </c>
    </row>
    <row r="87" s="1" customFormat="1" spans="1:6">
      <c r="A87" s="8" t="str">
        <f>"2020890325"</f>
        <v>2020890325</v>
      </c>
      <c r="B87" s="9">
        <v>60</v>
      </c>
      <c r="C87" s="9">
        <f t="shared" si="3"/>
        <v>18</v>
      </c>
      <c r="D87" s="10">
        <v>81</v>
      </c>
      <c r="E87" s="9">
        <f t="shared" si="4"/>
        <v>56.7</v>
      </c>
      <c r="F87" s="9">
        <f t="shared" si="5"/>
        <v>74.7</v>
      </c>
    </row>
    <row r="88" s="1" customFormat="1" spans="1:6">
      <c r="A88" s="8" t="str">
        <f>"2020890326"</f>
        <v>2020890326</v>
      </c>
      <c r="B88" s="9">
        <v>66</v>
      </c>
      <c r="C88" s="9">
        <f t="shared" si="3"/>
        <v>19.8</v>
      </c>
      <c r="D88" s="10">
        <v>86</v>
      </c>
      <c r="E88" s="9">
        <f t="shared" si="4"/>
        <v>60.2</v>
      </c>
      <c r="F88" s="9">
        <f t="shared" si="5"/>
        <v>80</v>
      </c>
    </row>
    <row r="89" s="1" customFormat="1" spans="1:6">
      <c r="A89" s="8" t="str">
        <f>"2020890327"</f>
        <v>2020890327</v>
      </c>
      <c r="B89" s="9">
        <v>0</v>
      </c>
      <c r="C89" s="9">
        <f t="shared" si="3"/>
        <v>0</v>
      </c>
      <c r="D89" s="10">
        <v>0</v>
      </c>
      <c r="E89" s="9">
        <f t="shared" si="4"/>
        <v>0</v>
      </c>
      <c r="F89" s="9">
        <f t="shared" si="5"/>
        <v>0</v>
      </c>
    </row>
    <row r="90" s="1" customFormat="1" spans="1:6">
      <c r="A90" s="8" t="str">
        <f>"2020890328"</f>
        <v>2020890328</v>
      </c>
      <c r="B90" s="9">
        <v>69</v>
      </c>
      <c r="C90" s="9">
        <f t="shared" si="3"/>
        <v>20.7</v>
      </c>
      <c r="D90" s="10">
        <v>81</v>
      </c>
      <c r="E90" s="9">
        <f t="shared" si="4"/>
        <v>56.7</v>
      </c>
      <c r="F90" s="9">
        <f t="shared" si="5"/>
        <v>77.4</v>
      </c>
    </row>
    <row r="91" s="1" customFormat="1" spans="1:6">
      <c r="A91" s="8" t="str">
        <f>"2020890329"</f>
        <v>2020890329</v>
      </c>
      <c r="B91" s="9">
        <v>70</v>
      </c>
      <c r="C91" s="9">
        <f t="shared" si="3"/>
        <v>21</v>
      </c>
      <c r="D91" s="10">
        <v>84</v>
      </c>
      <c r="E91" s="9">
        <f t="shared" si="4"/>
        <v>58.8</v>
      </c>
      <c r="F91" s="9">
        <f t="shared" si="5"/>
        <v>79.8</v>
      </c>
    </row>
    <row r="92" s="1" customFormat="1" spans="1:6">
      <c r="A92" s="8" t="str">
        <f>"2020890330"</f>
        <v>2020890330</v>
      </c>
      <c r="B92" s="9">
        <v>0</v>
      </c>
      <c r="C92" s="9">
        <f t="shared" si="3"/>
        <v>0</v>
      </c>
      <c r="D92" s="10">
        <v>0</v>
      </c>
      <c r="E92" s="9">
        <f t="shared" si="4"/>
        <v>0</v>
      </c>
      <c r="F92" s="9">
        <f t="shared" si="5"/>
        <v>0</v>
      </c>
    </row>
    <row r="93" s="1" customFormat="1" spans="1:6">
      <c r="A93" s="8" t="str">
        <f>"2020890401"</f>
        <v>2020890401</v>
      </c>
      <c r="B93" s="9">
        <v>75</v>
      </c>
      <c r="C93" s="9">
        <f t="shared" si="3"/>
        <v>22.5</v>
      </c>
      <c r="D93" s="10">
        <v>78</v>
      </c>
      <c r="E93" s="9">
        <f t="shared" si="4"/>
        <v>54.6</v>
      </c>
      <c r="F93" s="9">
        <f t="shared" si="5"/>
        <v>77.1</v>
      </c>
    </row>
    <row r="94" s="1" customFormat="1" spans="1:6">
      <c r="A94" s="8" t="str">
        <f>"2020890402"</f>
        <v>2020890402</v>
      </c>
      <c r="B94" s="9">
        <v>59</v>
      </c>
      <c r="C94" s="9">
        <f t="shared" si="3"/>
        <v>17.7</v>
      </c>
      <c r="D94" s="10">
        <v>78</v>
      </c>
      <c r="E94" s="9">
        <f t="shared" si="4"/>
        <v>54.6</v>
      </c>
      <c r="F94" s="9">
        <f t="shared" si="5"/>
        <v>72.3</v>
      </c>
    </row>
    <row r="95" s="1" customFormat="1" spans="1:6">
      <c r="A95" s="8" t="str">
        <f>"2020890403"</f>
        <v>2020890403</v>
      </c>
      <c r="B95" s="9">
        <v>0</v>
      </c>
      <c r="C95" s="9">
        <f t="shared" si="3"/>
        <v>0</v>
      </c>
      <c r="D95" s="10">
        <v>0</v>
      </c>
      <c r="E95" s="9">
        <f t="shared" si="4"/>
        <v>0</v>
      </c>
      <c r="F95" s="9">
        <f t="shared" si="5"/>
        <v>0</v>
      </c>
    </row>
    <row r="96" s="1" customFormat="1" spans="1:6">
      <c r="A96" s="8" t="str">
        <f>"2020890404"</f>
        <v>2020890404</v>
      </c>
      <c r="B96" s="9">
        <v>54</v>
      </c>
      <c r="C96" s="9">
        <f t="shared" si="3"/>
        <v>16.2</v>
      </c>
      <c r="D96" s="10">
        <v>60</v>
      </c>
      <c r="E96" s="9">
        <f t="shared" si="4"/>
        <v>42</v>
      </c>
      <c r="F96" s="9">
        <f t="shared" si="5"/>
        <v>58.2</v>
      </c>
    </row>
    <row r="97" s="1" customFormat="1" spans="1:6">
      <c r="A97" s="8" t="str">
        <f>"2020890405"</f>
        <v>2020890405</v>
      </c>
      <c r="B97" s="9">
        <v>62</v>
      </c>
      <c r="C97" s="9">
        <f t="shared" si="3"/>
        <v>18.6</v>
      </c>
      <c r="D97" s="10">
        <v>79</v>
      </c>
      <c r="E97" s="9">
        <f t="shared" si="4"/>
        <v>55.3</v>
      </c>
      <c r="F97" s="9">
        <f t="shared" si="5"/>
        <v>73.9</v>
      </c>
    </row>
    <row r="98" s="1" customFormat="1" spans="1:6">
      <c r="A98" s="8" t="str">
        <f>"2020890406"</f>
        <v>2020890406</v>
      </c>
      <c r="B98" s="9">
        <v>61</v>
      </c>
      <c r="C98" s="9">
        <f t="shared" si="3"/>
        <v>18.3</v>
      </c>
      <c r="D98" s="10">
        <v>84</v>
      </c>
      <c r="E98" s="9">
        <f t="shared" si="4"/>
        <v>58.8</v>
      </c>
      <c r="F98" s="9">
        <f t="shared" si="5"/>
        <v>77.1</v>
      </c>
    </row>
    <row r="99" s="1" customFormat="1" spans="1:6">
      <c r="A99" s="8" t="str">
        <f>"2020890407"</f>
        <v>2020890407</v>
      </c>
      <c r="B99" s="9">
        <v>64</v>
      </c>
      <c r="C99" s="9">
        <f t="shared" si="3"/>
        <v>19.2</v>
      </c>
      <c r="D99" s="10">
        <v>78</v>
      </c>
      <c r="E99" s="9">
        <f t="shared" si="4"/>
        <v>54.6</v>
      </c>
      <c r="F99" s="9">
        <f t="shared" si="5"/>
        <v>73.8</v>
      </c>
    </row>
    <row r="100" s="1" customFormat="1" spans="1:6">
      <c r="A100" s="8" t="str">
        <f>"2020890408"</f>
        <v>2020890408</v>
      </c>
      <c r="B100" s="9">
        <v>70</v>
      </c>
      <c r="C100" s="9">
        <f t="shared" si="3"/>
        <v>21</v>
      </c>
      <c r="D100" s="10">
        <v>88</v>
      </c>
      <c r="E100" s="9">
        <f t="shared" si="4"/>
        <v>61.6</v>
      </c>
      <c r="F100" s="9">
        <f t="shared" si="5"/>
        <v>82.6</v>
      </c>
    </row>
    <row r="101" s="1" customFormat="1" spans="1:6">
      <c r="A101" s="8" t="str">
        <f>"2020890409"</f>
        <v>2020890409</v>
      </c>
      <c r="B101" s="9">
        <v>66</v>
      </c>
      <c r="C101" s="9">
        <f t="shared" si="3"/>
        <v>19.8</v>
      </c>
      <c r="D101" s="10">
        <v>75</v>
      </c>
      <c r="E101" s="9">
        <f t="shared" si="4"/>
        <v>52.5</v>
      </c>
      <c r="F101" s="9">
        <f t="shared" si="5"/>
        <v>72.3</v>
      </c>
    </row>
    <row r="102" s="1" customFormat="1" spans="1:6">
      <c r="A102" s="8" t="str">
        <f>"2020890410"</f>
        <v>2020890410</v>
      </c>
      <c r="B102" s="9">
        <v>77</v>
      </c>
      <c r="C102" s="9">
        <f t="shared" si="3"/>
        <v>23.1</v>
      </c>
      <c r="D102" s="10">
        <v>92</v>
      </c>
      <c r="E102" s="9">
        <f t="shared" si="4"/>
        <v>64.4</v>
      </c>
      <c r="F102" s="9">
        <f t="shared" si="5"/>
        <v>87.5</v>
      </c>
    </row>
    <row r="103" s="1" customFormat="1" spans="1:6">
      <c r="A103" s="8" t="str">
        <f>"2020890411"</f>
        <v>2020890411</v>
      </c>
      <c r="B103" s="9">
        <v>55</v>
      </c>
      <c r="C103" s="9">
        <f t="shared" si="3"/>
        <v>16.5</v>
      </c>
      <c r="D103" s="10">
        <v>90</v>
      </c>
      <c r="E103" s="9">
        <f t="shared" si="4"/>
        <v>63</v>
      </c>
      <c r="F103" s="9">
        <f t="shared" si="5"/>
        <v>79.5</v>
      </c>
    </row>
    <row r="104" s="1" customFormat="1" spans="1:6">
      <c r="A104" s="8" t="str">
        <f>"2020890412"</f>
        <v>2020890412</v>
      </c>
      <c r="B104" s="9">
        <v>65</v>
      </c>
      <c r="C104" s="9">
        <f t="shared" si="3"/>
        <v>19.5</v>
      </c>
      <c r="D104" s="10">
        <v>64</v>
      </c>
      <c r="E104" s="9">
        <f t="shared" si="4"/>
        <v>44.8</v>
      </c>
      <c r="F104" s="9">
        <f t="shared" si="5"/>
        <v>64.3</v>
      </c>
    </row>
    <row r="105" s="1" customFormat="1" spans="1:6">
      <c r="A105" s="8" t="str">
        <f>"2020890413"</f>
        <v>2020890413</v>
      </c>
      <c r="B105" s="9">
        <v>82</v>
      </c>
      <c r="C105" s="9">
        <f t="shared" si="3"/>
        <v>24.6</v>
      </c>
      <c r="D105" s="10">
        <v>91</v>
      </c>
      <c r="E105" s="9">
        <f t="shared" si="4"/>
        <v>63.7</v>
      </c>
      <c r="F105" s="9">
        <f t="shared" si="5"/>
        <v>88.3</v>
      </c>
    </row>
    <row r="106" s="1" customFormat="1" spans="1:6">
      <c r="A106" s="8" t="str">
        <f>"2020890414"</f>
        <v>2020890414</v>
      </c>
      <c r="B106" s="9">
        <v>0</v>
      </c>
      <c r="C106" s="9">
        <f t="shared" si="3"/>
        <v>0</v>
      </c>
      <c r="D106" s="10">
        <v>0</v>
      </c>
      <c r="E106" s="9">
        <f t="shared" si="4"/>
        <v>0</v>
      </c>
      <c r="F106" s="9">
        <f t="shared" si="5"/>
        <v>0</v>
      </c>
    </row>
    <row r="107" s="1" customFormat="1" spans="1:6">
      <c r="A107" s="8" t="str">
        <f>"2020890415"</f>
        <v>2020890415</v>
      </c>
      <c r="B107" s="9">
        <v>77</v>
      </c>
      <c r="C107" s="9">
        <f t="shared" si="3"/>
        <v>23.1</v>
      </c>
      <c r="D107" s="10">
        <v>78</v>
      </c>
      <c r="E107" s="9">
        <f t="shared" si="4"/>
        <v>54.6</v>
      </c>
      <c r="F107" s="9">
        <f t="shared" si="5"/>
        <v>77.7</v>
      </c>
    </row>
    <row r="108" s="1" customFormat="1" spans="1:6">
      <c r="A108" s="8" t="str">
        <f>"2020890416"</f>
        <v>2020890416</v>
      </c>
      <c r="B108" s="9">
        <v>65</v>
      </c>
      <c r="C108" s="9">
        <f t="shared" si="3"/>
        <v>19.5</v>
      </c>
      <c r="D108" s="10">
        <v>65</v>
      </c>
      <c r="E108" s="9">
        <f t="shared" si="4"/>
        <v>45.5</v>
      </c>
      <c r="F108" s="9">
        <f t="shared" si="5"/>
        <v>65</v>
      </c>
    </row>
    <row r="109" s="1" customFormat="1" spans="1:6">
      <c r="A109" s="8" t="str">
        <f>"2020890417"</f>
        <v>2020890417</v>
      </c>
      <c r="B109" s="9">
        <v>78</v>
      </c>
      <c r="C109" s="9">
        <f t="shared" si="3"/>
        <v>23.4</v>
      </c>
      <c r="D109" s="10">
        <v>51</v>
      </c>
      <c r="E109" s="9">
        <f t="shared" si="4"/>
        <v>35.7</v>
      </c>
      <c r="F109" s="9">
        <f t="shared" si="5"/>
        <v>59.1</v>
      </c>
    </row>
    <row r="110" s="1" customFormat="1" spans="1:6">
      <c r="A110" s="8" t="str">
        <f>"2020890418"</f>
        <v>2020890418</v>
      </c>
      <c r="B110" s="9">
        <v>0</v>
      </c>
      <c r="C110" s="9">
        <f t="shared" si="3"/>
        <v>0</v>
      </c>
      <c r="D110" s="10">
        <v>0</v>
      </c>
      <c r="E110" s="9">
        <f t="shared" si="4"/>
        <v>0</v>
      </c>
      <c r="F110" s="9">
        <f t="shared" si="5"/>
        <v>0</v>
      </c>
    </row>
    <row r="111" s="1" customFormat="1" spans="1:6">
      <c r="A111" s="8" t="str">
        <f>"2020890419"</f>
        <v>2020890419</v>
      </c>
      <c r="B111" s="9">
        <v>0</v>
      </c>
      <c r="C111" s="9">
        <f t="shared" si="3"/>
        <v>0</v>
      </c>
      <c r="D111" s="10">
        <v>0</v>
      </c>
      <c r="E111" s="9">
        <f t="shared" si="4"/>
        <v>0</v>
      </c>
      <c r="F111" s="9">
        <f t="shared" si="5"/>
        <v>0</v>
      </c>
    </row>
    <row r="112" s="1" customFormat="1" spans="1:6">
      <c r="A112" s="8" t="str">
        <f>"2020890420"</f>
        <v>2020890420</v>
      </c>
      <c r="B112" s="9">
        <v>71</v>
      </c>
      <c r="C112" s="9">
        <f t="shared" si="3"/>
        <v>21.3</v>
      </c>
      <c r="D112" s="10">
        <v>95</v>
      </c>
      <c r="E112" s="9">
        <f t="shared" si="4"/>
        <v>66.5</v>
      </c>
      <c r="F112" s="9">
        <f t="shared" si="5"/>
        <v>87.8</v>
      </c>
    </row>
    <row r="113" s="1" customFormat="1" spans="1:6">
      <c r="A113" s="8" t="str">
        <f>"2020890421"</f>
        <v>2020890421</v>
      </c>
      <c r="B113" s="9">
        <v>72</v>
      </c>
      <c r="C113" s="9">
        <f t="shared" si="3"/>
        <v>21.6</v>
      </c>
      <c r="D113" s="10">
        <v>83</v>
      </c>
      <c r="E113" s="9">
        <f t="shared" si="4"/>
        <v>58.1</v>
      </c>
      <c r="F113" s="9">
        <f t="shared" si="5"/>
        <v>79.7</v>
      </c>
    </row>
    <row r="114" s="1" customFormat="1" spans="1:6">
      <c r="A114" s="8" t="str">
        <f>"2020890422"</f>
        <v>2020890422</v>
      </c>
      <c r="B114" s="9">
        <v>75</v>
      </c>
      <c r="C114" s="9">
        <f t="shared" si="3"/>
        <v>22.5</v>
      </c>
      <c r="D114" s="10">
        <v>80</v>
      </c>
      <c r="E114" s="9">
        <f t="shared" si="4"/>
        <v>56</v>
      </c>
      <c r="F114" s="9">
        <f t="shared" si="5"/>
        <v>78.5</v>
      </c>
    </row>
    <row r="115" s="1" customFormat="1" spans="1:6">
      <c r="A115" s="8" t="str">
        <f>"2020890423"</f>
        <v>2020890423</v>
      </c>
      <c r="B115" s="9">
        <v>65</v>
      </c>
      <c r="C115" s="9">
        <f t="shared" si="3"/>
        <v>19.5</v>
      </c>
      <c r="D115" s="10">
        <v>90</v>
      </c>
      <c r="E115" s="9">
        <f t="shared" si="4"/>
        <v>63</v>
      </c>
      <c r="F115" s="9">
        <f t="shared" si="5"/>
        <v>82.5</v>
      </c>
    </row>
    <row r="116" s="1" customFormat="1" spans="1:6">
      <c r="A116" s="8" t="str">
        <f>"2020890424"</f>
        <v>2020890424</v>
      </c>
      <c r="B116" s="9">
        <v>73</v>
      </c>
      <c r="C116" s="9">
        <f t="shared" si="3"/>
        <v>21.9</v>
      </c>
      <c r="D116" s="10">
        <v>91</v>
      </c>
      <c r="E116" s="9">
        <f t="shared" si="4"/>
        <v>63.7</v>
      </c>
      <c r="F116" s="9">
        <f t="shared" si="5"/>
        <v>85.6</v>
      </c>
    </row>
    <row r="117" s="1" customFormat="1" spans="1:6">
      <c r="A117" s="8" t="str">
        <f>"2020890425"</f>
        <v>2020890425</v>
      </c>
      <c r="B117" s="9">
        <v>68</v>
      </c>
      <c r="C117" s="9">
        <f t="shared" si="3"/>
        <v>20.4</v>
      </c>
      <c r="D117" s="10">
        <v>70</v>
      </c>
      <c r="E117" s="9">
        <f t="shared" si="4"/>
        <v>49</v>
      </c>
      <c r="F117" s="9">
        <f t="shared" si="5"/>
        <v>69.4</v>
      </c>
    </row>
    <row r="118" s="1" customFormat="1" spans="1:6">
      <c r="A118" s="8" t="str">
        <f>"2020890426"</f>
        <v>2020890426</v>
      </c>
      <c r="B118" s="9">
        <v>62</v>
      </c>
      <c r="C118" s="9">
        <f t="shared" si="3"/>
        <v>18.6</v>
      </c>
      <c r="D118" s="10">
        <v>77</v>
      </c>
      <c r="E118" s="9">
        <f t="shared" si="4"/>
        <v>53.9</v>
      </c>
      <c r="F118" s="9">
        <f t="shared" si="5"/>
        <v>72.5</v>
      </c>
    </row>
    <row r="119" s="1" customFormat="1" spans="1:6">
      <c r="A119" s="8" t="str">
        <f>"2020890427"</f>
        <v>2020890427</v>
      </c>
      <c r="B119" s="9">
        <v>64</v>
      </c>
      <c r="C119" s="9">
        <f t="shared" si="3"/>
        <v>19.2</v>
      </c>
      <c r="D119" s="10">
        <v>81</v>
      </c>
      <c r="E119" s="9">
        <f t="shared" si="4"/>
        <v>56.7</v>
      </c>
      <c r="F119" s="9">
        <f t="shared" si="5"/>
        <v>75.9</v>
      </c>
    </row>
    <row r="120" s="1" customFormat="1" spans="1:6">
      <c r="A120" s="8" t="str">
        <f>"2020890428"</f>
        <v>2020890428</v>
      </c>
      <c r="B120" s="9">
        <v>0</v>
      </c>
      <c r="C120" s="9">
        <f t="shared" si="3"/>
        <v>0</v>
      </c>
      <c r="D120" s="10">
        <v>0</v>
      </c>
      <c r="E120" s="9">
        <f t="shared" si="4"/>
        <v>0</v>
      </c>
      <c r="F120" s="9">
        <f t="shared" si="5"/>
        <v>0</v>
      </c>
    </row>
    <row r="121" s="1" customFormat="1" spans="1:6">
      <c r="A121" s="8" t="str">
        <f>"2020890429"</f>
        <v>2020890429</v>
      </c>
      <c r="B121" s="9">
        <v>59</v>
      </c>
      <c r="C121" s="9">
        <f t="shared" si="3"/>
        <v>17.7</v>
      </c>
      <c r="D121" s="10">
        <v>79</v>
      </c>
      <c r="E121" s="9">
        <f t="shared" si="4"/>
        <v>55.3</v>
      </c>
      <c r="F121" s="9">
        <f t="shared" si="5"/>
        <v>73</v>
      </c>
    </row>
    <row r="122" s="1" customFormat="1" spans="1:6">
      <c r="A122" s="8" t="str">
        <f>"2020890430"</f>
        <v>2020890430</v>
      </c>
      <c r="B122" s="9">
        <v>72</v>
      </c>
      <c r="C122" s="9">
        <f t="shared" si="3"/>
        <v>21.6</v>
      </c>
      <c r="D122" s="10">
        <v>89</v>
      </c>
      <c r="E122" s="9">
        <f t="shared" si="4"/>
        <v>62.3</v>
      </c>
      <c r="F122" s="9">
        <f t="shared" si="5"/>
        <v>83.9</v>
      </c>
    </row>
    <row r="123" s="1" customFormat="1" spans="1:6">
      <c r="A123" s="8" t="str">
        <f>"2020890501"</f>
        <v>2020890501</v>
      </c>
      <c r="B123" s="9">
        <v>0</v>
      </c>
      <c r="C123" s="9">
        <f t="shared" si="3"/>
        <v>0</v>
      </c>
      <c r="D123" s="10">
        <v>0</v>
      </c>
      <c r="E123" s="9">
        <f t="shared" si="4"/>
        <v>0</v>
      </c>
      <c r="F123" s="9">
        <f t="shared" si="5"/>
        <v>0</v>
      </c>
    </row>
    <row r="124" s="1" customFormat="1" spans="1:6">
      <c r="A124" s="8" t="str">
        <f>"2020890502"</f>
        <v>2020890502</v>
      </c>
      <c r="B124" s="9">
        <v>79</v>
      </c>
      <c r="C124" s="9">
        <f t="shared" si="3"/>
        <v>23.7</v>
      </c>
      <c r="D124" s="10">
        <v>89</v>
      </c>
      <c r="E124" s="9">
        <f t="shared" si="4"/>
        <v>62.3</v>
      </c>
      <c r="F124" s="9">
        <f t="shared" si="5"/>
        <v>86</v>
      </c>
    </row>
    <row r="125" s="1" customFormat="1" spans="1:6">
      <c r="A125" s="8" t="str">
        <f>"2020890503"</f>
        <v>2020890503</v>
      </c>
      <c r="B125" s="9">
        <v>0</v>
      </c>
      <c r="C125" s="9">
        <f t="shared" si="3"/>
        <v>0</v>
      </c>
      <c r="D125" s="10">
        <v>0</v>
      </c>
      <c r="E125" s="9">
        <f t="shared" si="4"/>
        <v>0</v>
      </c>
      <c r="F125" s="9">
        <f t="shared" si="5"/>
        <v>0</v>
      </c>
    </row>
    <row r="126" s="1" customFormat="1" spans="1:6">
      <c r="A126" s="8" t="str">
        <f>"2020890504"</f>
        <v>2020890504</v>
      </c>
      <c r="B126" s="9">
        <v>74</v>
      </c>
      <c r="C126" s="9">
        <f t="shared" si="3"/>
        <v>22.2</v>
      </c>
      <c r="D126" s="10">
        <v>92</v>
      </c>
      <c r="E126" s="9">
        <f t="shared" si="4"/>
        <v>64.4</v>
      </c>
      <c r="F126" s="9">
        <f t="shared" si="5"/>
        <v>86.6</v>
      </c>
    </row>
    <row r="127" s="1" customFormat="1" spans="1:6">
      <c r="A127" s="8" t="str">
        <f>"2020890505"</f>
        <v>2020890505</v>
      </c>
      <c r="B127" s="9">
        <v>59</v>
      </c>
      <c r="C127" s="9">
        <f t="shared" si="3"/>
        <v>17.7</v>
      </c>
      <c r="D127" s="10">
        <v>82</v>
      </c>
      <c r="E127" s="9">
        <f t="shared" si="4"/>
        <v>57.4</v>
      </c>
      <c r="F127" s="9">
        <f t="shared" si="5"/>
        <v>75.1</v>
      </c>
    </row>
    <row r="128" s="1" customFormat="1" spans="1:6">
      <c r="A128" s="8" t="str">
        <f>"2020890506"</f>
        <v>2020890506</v>
      </c>
      <c r="B128" s="9">
        <v>62</v>
      </c>
      <c r="C128" s="9">
        <f t="shared" si="3"/>
        <v>18.6</v>
      </c>
      <c r="D128" s="10">
        <v>83</v>
      </c>
      <c r="E128" s="9">
        <f t="shared" si="4"/>
        <v>58.1</v>
      </c>
      <c r="F128" s="9">
        <f t="shared" si="5"/>
        <v>76.7</v>
      </c>
    </row>
    <row r="129" s="1" customFormat="1" spans="1:6">
      <c r="A129" s="8" t="str">
        <f>"2020890507"</f>
        <v>2020890507</v>
      </c>
      <c r="B129" s="9">
        <v>0</v>
      </c>
      <c r="C129" s="9">
        <f t="shared" si="3"/>
        <v>0</v>
      </c>
      <c r="D129" s="10">
        <v>0</v>
      </c>
      <c r="E129" s="9">
        <f t="shared" si="4"/>
        <v>0</v>
      </c>
      <c r="F129" s="9">
        <f t="shared" si="5"/>
        <v>0</v>
      </c>
    </row>
    <row r="130" s="1" customFormat="1" spans="1:6">
      <c r="A130" s="8" t="str">
        <f>"2020890508"</f>
        <v>2020890508</v>
      </c>
      <c r="B130" s="9">
        <v>71</v>
      </c>
      <c r="C130" s="9">
        <f t="shared" si="3"/>
        <v>21.3</v>
      </c>
      <c r="D130" s="10">
        <v>83</v>
      </c>
      <c r="E130" s="9">
        <f t="shared" si="4"/>
        <v>58.1</v>
      </c>
      <c r="F130" s="9">
        <f t="shared" si="5"/>
        <v>79.4</v>
      </c>
    </row>
    <row r="131" s="1" customFormat="1" spans="1:6">
      <c r="A131" s="8" t="str">
        <f>"2020890509"</f>
        <v>2020890509</v>
      </c>
      <c r="B131" s="9">
        <v>76</v>
      </c>
      <c r="C131" s="9">
        <f t="shared" ref="C131:C194" si="6">B131*0.3</f>
        <v>22.8</v>
      </c>
      <c r="D131" s="10">
        <v>91</v>
      </c>
      <c r="E131" s="9">
        <f t="shared" ref="E131:E194" si="7">D131*0.7</f>
        <v>63.7</v>
      </c>
      <c r="F131" s="9">
        <f t="shared" ref="F131:F194" si="8">C131+E131</f>
        <v>86.5</v>
      </c>
    </row>
    <row r="132" s="1" customFormat="1" spans="1:6">
      <c r="A132" s="8" t="str">
        <f>"2020890510"</f>
        <v>2020890510</v>
      </c>
      <c r="B132" s="9">
        <v>0</v>
      </c>
      <c r="C132" s="9">
        <f t="shared" si="6"/>
        <v>0</v>
      </c>
      <c r="D132" s="10">
        <v>0</v>
      </c>
      <c r="E132" s="9">
        <f t="shared" si="7"/>
        <v>0</v>
      </c>
      <c r="F132" s="9">
        <f t="shared" si="8"/>
        <v>0</v>
      </c>
    </row>
    <row r="133" s="1" customFormat="1" spans="1:6">
      <c r="A133" s="8" t="str">
        <f>"2020890511"</f>
        <v>2020890511</v>
      </c>
      <c r="B133" s="9">
        <v>74</v>
      </c>
      <c r="C133" s="9">
        <f t="shared" si="6"/>
        <v>22.2</v>
      </c>
      <c r="D133" s="10">
        <v>84</v>
      </c>
      <c r="E133" s="9">
        <f t="shared" si="7"/>
        <v>58.8</v>
      </c>
      <c r="F133" s="9">
        <f t="shared" si="8"/>
        <v>81</v>
      </c>
    </row>
    <row r="134" s="1" customFormat="1" spans="1:6">
      <c r="A134" s="8" t="str">
        <f>"2020890512"</f>
        <v>2020890512</v>
      </c>
      <c r="B134" s="9">
        <v>60</v>
      </c>
      <c r="C134" s="9">
        <f t="shared" si="6"/>
        <v>18</v>
      </c>
      <c r="D134" s="10">
        <v>82</v>
      </c>
      <c r="E134" s="9">
        <f t="shared" si="7"/>
        <v>57.4</v>
      </c>
      <c r="F134" s="9">
        <f t="shared" si="8"/>
        <v>75.4</v>
      </c>
    </row>
    <row r="135" s="1" customFormat="1" spans="1:6">
      <c r="A135" s="8" t="str">
        <f>"2020890513"</f>
        <v>2020890513</v>
      </c>
      <c r="B135" s="9">
        <v>0</v>
      </c>
      <c r="C135" s="9">
        <f t="shared" si="6"/>
        <v>0</v>
      </c>
      <c r="D135" s="10">
        <v>0</v>
      </c>
      <c r="E135" s="9">
        <f t="shared" si="7"/>
        <v>0</v>
      </c>
      <c r="F135" s="9">
        <f t="shared" si="8"/>
        <v>0</v>
      </c>
    </row>
    <row r="136" s="1" customFormat="1" spans="1:6">
      <c r="A136" s="8" t="str">
        <f>"2020890514"</f>
        <v>2020890514</v>
      </c>
      <c r="B136" s="9">
        <v>72</v>
      </c>
      <c r="C136" s="9">
        <f t="shared" si="6"/>
        <v>21.6</v>
      </c>
      <c r="D136" s="10">
        <v>73</v>
      </c>
      <c r="E136" s="9">
        <f t="shared" si="7"/>
        <v>51.1</v>
      </c>
      <c r="F136" s="9">
        <f t="shared" si="8"/>
        <v>72.7</v>
      </c>
    </row>
    <row r="137" s="1" customFormat="1" spans="1:6">
      <c r="A137" s="8" t="str">
        <f>"2020890515"</f>
        <v>2020890515</v>
      </c>
      <c r="B137" s="9">
        <v>71</v>
      </c>
      <c r="C137" s="9">
        <f t="shared" si="6"/>
        <v>21.3</v>
      </c>
      <c r="D137" s="10">
        <v>73</v>
      </c>
      <c r="E137" s="9">
        <f t="shared" si="7"/>
        <v>51.1</v>
      </c>
      <c r="F137" s="9">
        <f t="shared" si="8"/>
        <v>72.4</v>
      </c>
    </row>
    <row r="138" s="1" customFormat="1" spans="1:6">
      <c r="A138" s="8" t="str">
        <f>"2020890516"</f>
        <v>2020890516</v>
      </c>
      <c r="B138" s="9">
        <v>62</v>
      </c>
      <c r="C138" s="9">
        <f t="shared" si="6"/>
        <v>18.6</v>
      </c>
      <c r="D138" s="10">
        <v>54</v>
      </c>
      <c r="E138" s="9">
        <f t="shared" si="7"/>
        <v>37.8</v>
      </c>
      <c r="F138" s="9">
        <f t="shared" si="8"/>
        <v>56.4</v>
      </c>
    </row>
    <row r="139" s="1" customFormat="1" spans="1:6">
      <c r="A139" s="8" t="str">
        <f>"2020890517"</f>
        <v>2020890517</v>
      </c>
      <c r="B139" s="9">
        <v>62</v>
      </c>
      <c r="C139" s="9">
        <f t="shared" si="6"/>
        <v>18.6</v>
      </c>
      <c r="D139" s="10">
        <v>93</v>
      </c>
      <c r="E139" s="9">
        <f t="shared" si="7"/>
        <v>65.1</v>
      </c>
      <c r="F139" s="9">
        <f t="shared" si="8"/>
        <v>83.7</v>
      </c>
    </row>
    <row r="140" s="1" customFormat="1" spans="1:6">
      <c r="A140" s="8" t="str">
        <f>"2020890518"</f>
        <v>2020890518</v>
      </c>
      <c r="B140" s="9">
        <v>64</v>
      </c>
      <c r="C140" s="9">
        <f t="shared" si="6"/>
        <v>19.2</v>
      </c>
      <c r="D140" s="10">
        <v>74</v>
      </c>
      <c r="E140" s="9">
        <f t="shared" si="7"/>
        <v>51.8</v>
      </c>
      <c r="F140" s="9">
        <f t="shared" si="8"/>
        <v>71</v>
      </c>
    </row>
    <row r="141" s="1" customFormat="1" spans="1:6">
      <c r="A141" s="8" t="str">
        <f>"2020890519"</f>
        <v>2020890519</v>
      </c>
      <c r="B141" s="9">
        <v>68</v>
      </c>
      <c r="C141" s="9">
        <f t="shared" si="6"/>
        <v>20.4</v>
      </c>
      <c r="D141" s="10">
        <v>87</v>
      </c>
      <c r="E141" s="9">
        <f t="shared" si="7"/>
        <v>60.9</v>
      </c>
      <c r="F141" s="9">
        <f t="shared" si="8"/>
        <v>81.3</v>
      </c>
    </row>
    <row r="142" s="1" customFormat="1" spans="1:6">
      <c r="A142" s="8" t="str">
        <f>"2020890520"</f>
        <v>2020890520</v>
      </c>
      <c r="B142" s="9">
        <v>67</v>
      </c>
      <c r="C142" s="9">
        <f t="shared" si="6"/>
        <v>20.1</v>
      </c>
      <c r="D142" s="10">
        <v>85</v>
      </c>
      <c r="E142" s="9">
        <f t="shared" si="7"/>
        <v>59.5</v>
      </c>
      <c r="F142" s="9">
        <f t="shared" si="8"/>
        <v>79.6</v>
      </c>
    </row>
    <row r="143" s="1" customFormat="1" spans="1:6">
      <c r="A143" s="8" t="str">
        <f>"2020890521"</f>
        <v>2020890521</v>
      </c>
      <c r="B143" s="9">
        <v>69</v>
      </c>
      <c r="C143" s="9">
        <f t="shared" si="6"/>
        <v>20.7</v>
      </c>
      <c r="D143" s="10">
        <v>80</v>
      </c>
      <c r="E143" s="9">
        <f t="shared" si="7"/>
        <v>56</v>
      </c>
      <c r="F143" s="9">
        <f t="shared" si="8"/>
        <v>76.7</v>
      </c>
    </row>
    <row r="144" s="1" customFormat="1" spans="1:6">
      <c r="A144" s="8" t="str">
        <f>"2020890522"</f>
        <v>2020890522</v>
      </c>
      <c r="B144" s="9">
        <v>66</v>
      </c>
      <c r="C144" s="9">
        <f t="shared" si="6"/>
        <v>19.8</v>
      </c>
      <c r="D144" s="10">
        <v>83</v>
      </c>
      <c r="E144" s="9">
        <f t="shared" si="7"/>
        <v>58.1</v>
      </c>
      <c r="F144" s="9">
        <f t="shared" si="8"/>
        <v>77.9</v>
      </c>
    </row>
    <row r="145" s="1" customFormat="1" spans="1:6">
      <c r="A145" s="8" t="str">
        <f>"2020890523"</f>
        <v>2020890523</v>
      </c>
      <c r="B145" s="9">
        <v>81</v>
      </c>
      <c r="C145" s="9">
        <f t="shared" si="6"/>
        <v>24.3</v>
      </c>
      <c r="D145" s="10">
        <v>74</v>
      </c>
      <c r="E145" s="9">
        <f t="shared" si="7"/>
        <v>51.8</v>
      </c>
      <c r="F145" s="9">
        <f t="shared" si="8"/>
        <v>76.1</v>
      </c>
    </row>
    <row r="146" s="1" customFormat="1" spans="1:6">
      <c r="A146" s="8" t="str">
        <f>"2020890524"</f>
        <v>2020890524</v>
      </c>
      <c r="B146" s="9">
        <v>77</v>
      </c>
      <c r="C146" s="9">
        <f t="shared" si="6"/>
        <v>23.1</v>
      </c>
      <c r="D146" s="10">
        <v>86</v>
      </c>
      <c r="E146" s="9">
        <f t="shared" si="7"/>
        <v>60.2</v>
      </c>
      <c r="F146" s="9">
        <f t="shared" si="8"/>
        <v>83.3</v>
      </c>
    </row>
    <row r="147" s="1" customFormat="1" spans="1:6">
      <c r="A147" s="8" t="str">
        <f>"2020890525"</f>
        <v>2020890525</v>
      </c>
      <c r="B147" s="9">
        <v>77</v>
      </c>
      <c r="C147" s="9">
        <f t="shared" si="6"/>
        <v>23.1</v>
      </c>
      <c r="D147" s="10">
        <v>80</v>
      </c>
      <c r="E147" s="9">
        <f t="shared" si="7"/>
        <v>56</v>
      </c>
      <c r="F147" s="9">
        <f t="shared" si="8"/>
        <v>79.1</v>
      </c>
    </row>
    <row r="148" s="1" customFormat="1" spans="1:6">
      <c r="A148" s="8" t="str">
        <f>"2020890526"</f>
        <v>2020890526</v>
      </c>
      <c r="B148" s="9">
        <v>73</v>
      </c>
      <c r="C148" s="9">
        <f t="shared" si="6"/>
        <v>21.9</v>
      </c>
      <c r="D148" s="10">
        <v>68</v>
      </c>
      <c r="E148" s="9">
        <f t="shared" si="7"/>
        <v>47.6</v>
      </c>
      <c r="F148" s="9">
        <f t="shared" si="8"/>
        <v>69.5</v>
      </c>
    </row>
    <row r="149" s="1" customFormat="1" spans="1:6">
      <c r="A149" s="8" t="str">
        <f>"2020890527"</f>
        <v>2020890527</v>
      </c>
      <c r="B149" s="9">
        <v>78</v>
      </c>
      <c r="C149" s="9">
        <f t="shared" si="6"/>
        <v>23.4</v>
      </c>
      <c r="D149" s="10">
        <v>91</v>
      </c>
      <c r="E149" s="9">
        <f t="shared" si="7"/>
        <v>63.7</v>
      </c>
      <c r="F149" s="9">
        <f t="shared" si="8"/>
        <v>87.1</v>
      </c>
    </row>
    <row r="150" s="1" customFormat="1" spans="1:6">
      <c r="A150" s="8" t="str">
        <f>"2020890528"</f>
        <v>2020890528</v>
      </c>
      <c r="B150" s="9">
        <v>65</v>
      </c>
      <c r="C150" s="9">
        <f t="shared" si="6"/>
        <v>19.5</v>
      </c>
      <c r="D150" s="10">
        <v>77</v>
      </c>
      <c r="E150" s="9">
        <f t="shared" si="7"/>
        <v>53.9</v>
      </c>
      <c r="F150" s="9">
        <f t="shared" si="8"/>
        <v>73.4</v>
      </c>
    </row>
    <row r="151" s="1" customFormat="1" spans="1:6">
      <c r="A151" s="8" t="str">
        <f>"2020890529"</f>
        <v>2020890529</v>
      </c>
      <c r="B151" s="9">
        <v>0</v>
      </c>
      <c r="C151" s="9">
        <f t="shared" si="6"/>
        <v>0</v>
      </c>
      <c r="D151" s="10">
        <v>0</v>
      </c>
      <c r="E151" s="9">
        <f t="shared" si="7"/>
        <v>0</v>
      </c>
      <c r="F151" s="9">
        <f t="shared" si="8"/>
        <v>0</v>
      </c>
    </row>
    <row r="152" s="1" customFormat="1" spans="1:6">
      <c r="A152" s="8" t="str">
        <f>"2020890530"</f>
        <v>2020890530</v>
      </c>
      <c r="B152" s="9">
        <v>0</v>
      </c>
      <c r="C152" s="9">
        <f t="shared" si="6"/>
        <v>0</v>
      </c>
      <c r="D152" s="10">
        <v>0</v>
      </c>
      <c r="E152" s="9">
        <f t="shared" si="7"/>
        <v>0</v>
      </c>
      <c r="F152" s="9">
        <f t="shared" si="8"/>
        <v>0</v>
      </c>
    </row>
    <row r="153" s="1" customFormat="1" spans="1:6">
      <c r="A153" s="8" t="str">
        <f>"2020890601"</f>
        <v>2020890601</v>
      </c>
      <c r="B153" s="9">
        <v>0</v>
      </c>
      <c r="C153" s="9">
        <f t="shared" si="6"/>
        <v>0</v>
      </c>
      <c r="D153" s="10">
        <v>0</v>
      </c>
      <c r="E153" s="9">
        <f t="shared" si="7"/>
        <v>0</v>
      </c>
      <c r="F153" s="9">
        <f t="shared" si="8"/>
        <v>0</v>
      </c>
    </row>
    <row r="154" s="1" customFormat="1" spans="1:6">
      <c r="A154" s="8" t="str">
        <f>"2020890602"</f>
        <v>2020890602</v>
      </c>
      <c r="B154" s="9">
        <v>62</v>
      </c>
      <c r="C154" s="9">
        <f t="shared" si="6"/>
        <v>18.6</v>
      </c>
      <c r="D154" s="10">
        <v>92</v>
      </c>
      <c r="E154" s="9">
        <f t="shared" si="7"/>
        <v>64.4</v>
      </c>
      <c r="F154" s="9">
        <f t="shared" si="8"/>
        <v>83</v>
      </c>
    </row>
    <row r="155" s="1" customFormat="1" spans="1:6">
      <c r="A155" s="8" t="str">
        <f>"2020890603"</f>
        <v>2020890603</v>
      </c>
      <c r="B155" s="9">
        <v>0</v>
      </c>
      <c r="C155" s="9">
        <f t="shared" si="6"/>
        <v>0</v>
      </c>
      <c r="D155" s="10">
        <v>0</v>
      </c>
      <c r="E155" s="9">
        <f t="shared" si="7"/>
        <v>0</v>
      </c>
      <c r="F155" s="9">
        <f t="shared" si="8"/>
        <v>0</v>
      </c>
    </row>
    <row r="156" s="1" customFormat="1" spans="1:6">
      <c r="A156" s="8" t="str">
        <f>"2020890604"</f>
        <v>2020890604</v>
      </c>
      <c r="B156" s="9">
        <v>83</v>
      </c>
      <c r="C156" s="9">
        <f t="shared" si="6"/>
        <v>24.9</v>
      </c>
      <c r="D156" s="10">
        <v>78</v>
      </c>
      <c r="E156" s="9">
        <f t="shared" si="7"/>
        <v>54.6</v>
      </c>
      <c r="F156" s="9">
        <f t="shared" si="8"/>
        <v>79.5</v>
      </c>
    </row>
    <row r="157" s="1" customFormat="1" spans="1:6">
      <c r="A157" s="8" t="str">
        <f>"2020890605"</f>
        <v>2020890605</v>
      </c>
      <c r="B157" s="9">
        <v>79</v>
      </c>
      <c r="C157" s="9">
        <f t="shared" si="6"/>
        <v>23.7</v>
      </c>
      <c r="D157" s="10">
        <v>89</v>
      </c>
      <c r="E157" s="9">
        <f t="shared" si="7"/>
        <v>62.3</v>
      </c>
      <c r="F157" s="9">
        <f t="shared" si="8"/>
        <v>86</v>
      </c>
    </row>
    <row r="158" s="1" customFormat="1" spans="1:6">
      <c r="A158" s="8" t="str">
        <f>"2020890606"</f>
        <v>2020890606</v>
      </c>
      <c r="B158" s="9">
        <v>0</v>
      </c>
      <c r="C158" s="9">
        <f t="shared" si="6"/>
        <v>0</v>
      </c>
      <c r="D158" s="10">
        <v>0</v>
      </c>
      <c r="E158" s="9">
        <f t="shared" si="7"/>
        <v>0</v>
      </c>
      <c r="F158" s="9">
        <f t="shared" si="8"/>
        <v>0</v>
      </c>
    </row>
    <row r="159" s="1" customFormat="1" spans="1:6">
      <c r="A159" s="8" t="str">
        <f>"2020890607"</f>
        <v>2020890607</v>
      </c>
      <c r="B159" s="9">
        <v>68</v>
      </c>
      <c r="C159" s="9">
        <f t="shared" si="6"/>
        <v>20.4</v>
      </c>
      <c r="D159" s="10">
        <v>83</v>
      </c>
      <c r="E159" s="9">
        <f t="shared" si="7"/>
        <v>58.1</v>
      </c>
      <c r="F159" s="9">
        <f t="shared" si="8"/>
        <v>78.5</v>
      </c>
    </row>
    <row r="160" s="1" customFormat="1" spans="1:6">
      <c r="A160" s="8" t="str">
        <f>"2020890608"</f>
        <v>2020890608</v>
      </c>
      <c r="B160" s="9">
        <v>78</v>
      </c>
      <c r="C160" s="9">
        <f t="shared" si="6"/>
        <v>23.4</v>
      </c>
      <c r="D160" s="10">
        <v>75</v>
      </c>
      <c r="E160" s="9">
        <f t="shared" si="7"/>
        <v>52.5</v>
      </c>
      <c r="F160" s="9">
        <f t="shared" si="8"/>
        <v>75.9</v>
      </c>
    </row>
    <row r="161" s="1" customFormat="1" spans="1:6">
      <c r="A161" s="8" t="str">
        <f>"2020890609"</f>
        <v>2020890609</v>
      </c>
      <c r="B161" s="9">
        <v>66</v>
      </c>
      <c r="C161" s="9">
        <f t="shared" si="6"/>
        <v>19.8</v>
      </c>
      <c r="D161" s="10">
        <v>70</v>
      </c>
      <c r="E161" s="9">
        <f t="shared" si="7"/>
        <v>49</v>
      </c>
      <c r="F161" s="9">
        <f t="shared" si="8"/>
        <v>68.8</v>
      </c>
    </row>
    <row r="162" s="1" customFormat="1" spans="1:6">
      <c r="A162" s="8" t="str">
        <f>"2020890610"</f>
        <v>2020890610</v>
      </c>
      <c r="B162" s="9">
        <v>79</v>
      </c>
      <c r="C162" s="9">
        <f t="shared" si="6"/>
        <v>23.7</v>
      </c>
      <c r="D162" s="10">
        <v>92</v>
      </c>
      <c r="E162" s="9">
        <f t="shared" si="7"/>
        <v>64.4</v>
      </c>
      <c r="F162" s="9">
        <f t="shared" si="8"/>
        <v>88.1</v>
      </c>
    </row>
    <row r="163" s="1" customFormat="1" spans="1:6">
      <c r="A163" s="8" t="str">
        <f>"2020890611"</f>
        <v>2020890611</v>
      </c>
      <c r="B163" s="9">
        <v>60</v>
      </c>
      <c r="C163" s="9">
        <f t="shared" si="6"/>
        <v>18</v>
      </c>
      <c r="D163" s="10">
        <v>52</v>
      </c>
      <c r="E163" s="9">
        <f t="shared" si="7"/>
        <v>36.4</v>
      </c>
      <c r="F163" s="9">
        <f t="shared" si="8"/>
        <v>54.4</v>
      </c>
    </row>
    <row r="164" s="1" customFormat="1" spans="1:6">
      <c r="A164" s="8" t="str">
        <f>"2020890612"</f>
        <v>2020890612</v>
      </c>
      <c r="B164" s="9">
        <v>0</v>
      </c>
      <c r="C164" s="9">
        <f t="shared" si="6"/>
        <v>0</v>
      </c>
      <c r="D164" s="10">
        <v>0</v>
      </c>
      <c r="E164" s="9">
        <f t="shared" si="7"/>
        <v>0</v>
      </c>
      <c r="F164" s="9">
        <f t="shared" si="8"/>
        <v>0</v>
      </c>
    </row>
    <row r="165" s="1" customFormat="1" spans="1:6">
      <c r="A165" s="8" t="str">
        <f>"2020890613"</f>
        <v>2020890613</v>
      </c>
      <c r="B165" s="9">
        <v>74</v>
      </c>
      <c r="C165" s="9">
        <f t="shared" si="6"/>
        <v>22.2</v>
      </c>
      <c r="D165" s="10">
        <v>89</v>
      </c>
      <c r="E165" s="9">
        <f t="shared" si="7"/>
        <v>62.3</v>
      </c>
      <c r="F165" s="9">
        <f t="shared" si="8"/>
        <v>84.5</v>
      </c>
    </row>
    <row r="166" s="1" customFormat="1" spans="1:6">
      <c r="A166" s="8" t="str">
        <f>"2020890614"</f>
        <v>2020890614</v>
      </c>
      <c r="B166" s="9">
        <v>69</v>
      </c>
      <c r="C166" s="9">
        <f t="shared" si="6"/>
        <v>20.7</v>
      </c>
      <c r="D166" s="10">
        <v>71</v>
      </c>
      <c r="E166" s="9">
        <f t="shared" si="7"/>
        <v>49.7</v>
      </c>
      <c r="F166" s="9">
        <f t="shared" si="8"/>
        <v>70.4</v>
      </c>
    </row>
    <row r="167" s="1" customFormat="1" spans="1:6">
      <c r="A167" s="8" t="str">
        <f>"2020890615"</f>
        <v>2020890615</v>
      </c>
      <c r="B167" s="9">
        <v>75</v>
      </c>
      <c r="C167" s="9">
        <f t="shared" si="6"/>
        <v>22.5</v>
      </c>
      <c r="D167" s="10">
        <v>94</v>
      </c>
      <c r="E167" s="9">
        <f t="shared" si="7"/>
        <v>65.8</v>
      </c>
      <c r="F167" s="9">
        <f t="shared" si="8"/>
        <v>88.3</v>
      </c>
    </row>
    <row r="168" s="1" customFormat="1" spans="1:6">
      <c r="A168" s="8" t="str">
        <f>"2020890616"</f>
        <v>2020890616</v>
      </c>
      <c r="B168" s="9">
        <v>66</v>
      </c>
      <c r="C168" s="9">
        <f t="shared" si="6"/>
        <v>19.8</v>
      </c>
      <c r="D168" s="10">
        <v>65</v>
      </c>
      <c r="E168" s="9">
        <f t="shared" si="7"/>
        <v>45.5</v>
      </c>
      <c r="F168" s="9">
        <f t="shared" si="8"/>
        <v>65.3</v>
      </c>
    </row>
    <row r="169" s="1" customFormat="1" spans="1:6">
      <c r="A169" s="8" t="str">
        <f>"2020890617"</f>
        <v>2020890617</v>
      </c>
      <c r="B169" s="9">
        <v>70</v>
      </c>
      <c r="C169" s="9">
        <f t="shared" si="6"/>
        <v>21</v>
      </c>
      <c r="D169" s="10">
        <v>54</v>
      </c>
      <c r="E169" s="9">
        <f t="shared" si="7"/>
        <v>37.8</v>
      </c>
      <c r="F169" s="9">
        <f t="shared" si="8"/>
        <v>58.8</v>
      </c>
    </row>
    <row r="170" s="1" customFormat="1" spans="1:6">
      <c r="A170" s="8" t="str">
        <f>"2020890618"</f>
        <v>2020890618</v>
      </c>
      <c r="B170" s="9">
        <v>56</v>
      </c>
      <c r="C170" s="9">
        <f t="shared" si="6"/>
        <v>16.8</v>
      </c>
      <c r="D170" s="10">
        <v>85</v>
      </c>
      <c r="E170" s="9">
        <f t="shared" si="7"/>
        <v>59.5</v>
      </c>
      <c r="F170" s="9">
        <f t="shared" si="8"/>
        <v>76.3</v>
      </c>
    </row>
    <row r="171" s="1" customFormat="1" spans="1:6">
      <c r="A171" s="8" t="str">
        <f>"2020890619"</f>
        <v>2020890619</v>
      </c>
      <c r="B171" s="9">
        <v>61</v>
      </c>
      <c r="C171" s="9">
        <f t="shared" si="6"/>
        <v>18.3</v>
      </c>
      <c r="D171" s="10">
        <v>66</v>
      </c>
      <c r="E171" s="9">
        <f t="shared" si="7"/>
        <v>46.2</v>
      </c>
      <c r="F171" s="9">
        <f t="shared" si="8"/>
        <v>64.5</v>
      </c>
    </row>
    <row r="172" s="1" customFormat="1" spans="1:6">
      <c r="A172" s="8" t="str">
        <f>"2020890620"</f>
        <v>2020890620</v>
      </c>
      <c r="B172" s="9">
        <v>0</v>
      </c>
      <c r="C172" s="9">
        <f t="shared" si="6"/>
        <v>0</v>
      </c>
      <c r="D172" s="10">
        <v>0</v>
      </c>
      <c r="E172" s="9">
        <f t="shared" si="7"/>
        <v>0</v>
      </c>
      <c r="F172" s="9">
        <f t="shared" si="8"/>
        <v>0</v>
      </c>
    </row>
    <row r="173" s="1" customFormat="1" spans="1:6">
      <c r="A173" s="8" t="str">
        <f>"2020890621"</f>
        <v>2020890621</v>
      </c>
      <c r="B173" s="9">
        <v>54</v>
      </c>
      <c r="C173" s="9">
        <f t="shared" si="6"/>
        <v>16.2</v>
      </c>
      <c r="D173" s="10">
        <v>87</v>
      </c>
      <c r="E173" s="9">
        <f t="shared" si="7"/>
        <v>60.9</v>
      </c>
      <c r="F173" s="9">
        <f t="shared" si="8"/>
        <v>77.1</v>
      </c>
    </row>
    <row r="174" s="1" customFormat="1" spans="1:6">
      <c r="A174" s="8" t="str">
        <f>"2020890622"</f>
        <v>2020890622</v>
      </c>
      <c r="B174" s="9">
        <v>47</v>
      </c>
      <c r="C174" s="9">
        <f t="shared" si="6"/>
        <v>14.1</v>
      </c>
      <c r="D174" s="10">
        <v>68</v>
      </c>
      <c r="E174" s="9">
        <f t="shared" si="7"/>
        <v>47.6</v>
      </c>
      <c r="F174" s="9">
        <f t="shared" si="8"/>
        <v>61.7</v>
      </c>
    </row>
    <row r="175" s="1" customFormat="1" spans="1:6">
      <c r="A175" s="8" t="str">
        <f>"2020890623"</f>
        <v>2020890623</v>
      </c>
      <c r="B175" s="9">
        <v>68</v>
      </c>
      <c r="C175" s="9">
        <f t="shared" si="6"/>
        <v>20.4</v>
      </c>
      <c r="D175" s="10">
        <v>87</v>
      </c>
      <c r="E175" s="9">
        <f t="shared" si="7"/>
        <v>60.9</v>
      </c>
      <c r="F175" s="9">
        <f t="shared" si="8"/>
        <v>81.3</v>
      </c>
    </row>
    <row r="176" s="1" customFormat="1" spans="1:6">
      <c r="A176" s="8" t="str">
        <f>"2020890624"</f>
        <v>2020890624</v>
      </c>
      <c r="B176" s="9">
        <v>64</v>
      </c>
      <c r="C176" s="9">
        <f t="shared" si="6"/>
        <v>19.2</v>
      </c>
      <c r="D176" s="10">
        <v>89</v>
      </c>
      <c r="E176" s="9">
        <f t="shared" si="7"/>
        <v>62.3</v>
      </c>
      <c r="F176" s="9">
        <f t="shared" si="8"/>
        <v>81.5</v>
      </c>
    </row>
    <row r="177" s="1" customFormat="1" spans="1:6">
      <c r="A177" s="8" t="str">
        <f>"2020890625"</f>
        <v>2020890625</v>
      </c>
      <c r="B177" s="9">
        <v>0</v>
      </c>
      <c r="C177" s="9">
        <f t="shared" si="6"/>
        <v>0</v>
      </c>
      <c r="D177" s="10">
        <v>0</v>
      </c>
      <c r="E177" s="9">
        <f t="shared" si="7"/>
        <v>0</v>
      </c>
      <c r="F177" s="9">
        <f t="shared" si="8"/>
        <v>0</v>
      </c>
    </row>
    <row r="178" s="1" customFormat="1" spans="1:6">
      <c r="A178" s="8" t="str">
        <f>"2020890626"</f>
        <v>2020890626</v>
      </c>
      <c r="B178" s="9">
        <v>78</v>
      </c>
      <c r="C178" s="9">
        <f t="shared" si="6"/>
        <v>23.4</v>
      </c>
      <c r="D178" s="10">
        <v>86</v>
      </c>
      <c r="E178" s="9">
        <f t="shared" si="7"/>
        <v>60.2</v>
      </c>
      <c r="F178" s="9">
        <f t="shared" si="8"/>
        <v>83.6</v>
      </c>
    </row>
    <row r="179" s="1" customFormat="1" spans="1:6">
      <c r="A179" s="8" t="str">
        <f>"2020890627"</f>
        <v>2020890627</v>
      </c>
      <c r="B179" s="9">
        <v>52</v>
      </c>
      <c r="C179" s="9">
        <f t="shared" si="6"/>
        <v>15.6</v>
      </c>
      <c r="D179" s="10">
        <v>91</v>
      </c>
      <c r="E179" s="9">
        <f t="shared" si="7"/>
        <v>63.7</v>
      </c>
      <c r="F179" s="9">
        <f t="shared" si="8"/>
        <v>79.3</v>
      </c>
    </row>
    <row r="180" s="1" customFormat="1" spans="1:6">
      <c r="A180" s="8" t="str">
        <f>"2020890628"</f>
        <v>2020890628</v>
      </c>
      <c r="B180" s="9">
        <v>53</v>
      </c>
      <c r="C180" s="9">
        <f t="shared" si="6"/>
        <v>15.9</v>
      </c>
      <c r="D180" s="10">
        <v>73</v>
      </c>
      <c r="E180" s="9">
        <f t="shared" si="7"/>
        <v>51.1</v>
      </c>
      <c r="F180" s="9">
        <f t="shared" si="8"/>
        <v>67</v>
      </c>
    </row>
    <row r="181" s="1" customFormat="1" spans="1:6">
      <c r="A181" s="8" t="str">
        <f>"2020890629"</f>
        <v>2020890629</v>
      </c>
      <c r="B181" s="9">
        <v>64</v>
      </c>
      <c r="C181" s="9">
        <f t="shared" si="6"/>
        <v>19.2</v>
      </c>
      <c r="D181" s="10">
        <v>71</v>
      </c>
      <c r="E181" s="9">
        <f t="shared" si="7"/>
        <v>49.7</v>
      </c>
      <c r="F181" s="9">
        <f t="shared" si="8"/>
        <v>68.9</v>
      </c>
    </row>
    <row r="182" s="1" customFormat="1" spans="1:6">
      <c r="A182" s="8" t="str">
        <f>"2020890630"</f>
        <v>2020890630</v>
      </c>
      <c r="B182" s="9">
        <v>75</v>
      </c>
      <c r="C182" s="9">
        <f t="shared" si="6"/>
        <v>22.5</v>
      </c>
      <c r="D182" s="10">
        <v>73</v>
      </c>
      <c r="E182" s="9">
        <f t="shared" si="7"/>
        <v>51.1</v>
      </c>
      <c r="F182" s="9">
        <f t="shared" si="8"/>
        <v>73.6</v>
      </c>
    </row>
    <row r="183" s="1" customFormat="1" spans="1:6">
      <c r="A183" s="8" t="str">
        <f>"2020890701"</f>
        <v>2020890701</v>
      </c>
      <c r="B183" s="9">
        <v>0</v>
      </c>
      <c r="C183" s="9">
        <f t="shared" si="6"/>
        <v>0</v>
      </c>
      <c r="D183" s="10">
        <v>0</v>
      </c>
      <c r="E183" s="9">
        <f t="shared" si="7"/>
        <v>0</v>
      </c>
      <c r="F183" s="9">
        <f t="shared" si="8"/>
        <v>0</v>
      </c>
    </row>
    <row r="184" s="1" customFormat="1" spans="1:6">
      <c r="A184" s="8" t="str">
        <f>"2020890702"</f>
        <v>2020890702</v>
      </c>
      <c r="B184" s="9">
        <v>66</v>
      </c>
      <c r="C184" s="9">
        <f t="shared" si="6"/>
        <v>19.8</v>
      </c>
      <c r="D184" s="10">
        <v>93</v>
      </c>
      <c r="E184" s="9">
        <f t="shared" si="7"/>
        <v>65.1</v>
      </c>
      <c r="F184" s="9">
        <f t="shared" si="8"/>
        <v>84.9</v>
      </c>
    </row>
    <row r="185" s="1" customFormat="1" spans="1:6">
      <c r="A185" s="8" t="str">
        <f>"2020890703"</f>
        <v>2020890703</v>
      </c>
      <c r="B185" s="9">
        <v>63</v>
      </c>
      <c r="C185" s="9">
        <f t="shared" si="6"/>
        <v>18.9</v>
      </c>
      <c r="D185" s="10">
        <v>74</v>
      </c>
      <c r="E185" s="9">
        <f t="shared" si="7"/>
        <v>51.8</v>
      </c>
      <c r="F185" s="9">
        <f t="shared" si="8"/>
        <v>70.7</v>
      </c>
    </row>
    <row r="186" s="1" customFormat="1" spans="1:6">
      <c r="A186" s="8" t="str">
        <f>"2020890704"</f>
        <v>2020890704</v>
      </c>
      <c r="B186" s="9">
        <v>68</v>
      </c>
      <c r="C186" s="9">
        <f t="shared" si="6"/>
        <v>20.4</v>
      </c>
      <c r="D186" s="10">
        <v>80</v>
      </c>
      <c r="E186" s="9">
        <f t="shared" si="7"/>
        <v>56</v>
      </c>
      <c r="F186" s="9">
        <f t="shared" si="8"/>
        <v>76.4</v>
      </c>
    </row>
    <row r="187" s="1" customFormat="1" spans="1:6">
      <c r="A187" s="8" t="str">
        <f>"2020890705"</f>
        <v>2020890705</v>
      </c>
      <c r="B187" s="9">
        <v>78</v>
      </c>
      <c r="C187" s="9">
        <f t="shared" si="6"/>
        <v>23.4</v>
      </c>
      <c r="D187" s="10">
        <v>92</v>
      </c>
      <c r="E187" s="9">
        <f t="shared" si="7"/>
        <v>64.4</v>
      </c>
      <c r="F187" s="9">
        <f t="shared" si="8"/>
        <v>87.8</v>
      </c>
    </row>
    <row r="188" s="1" customFormat="1" spans="1:6">
      <c r="A188" s="8" t="str">
        <f>"2020890706"</f>
        <v>2020890706</v>
      </c>
      <c r="B188" s="9">
        <v>63</v>
      </c>
      <c r="C188" s="9">
        <f t="shared" si="6"/>
        <v>18.9</v>
      </c>
      <c r="D188" s="10">
        <v>76</v>
      </c>
      <c r="E188" s="9">
        <f t="shared" si="7"/>
        <v>53.2</v>
      </c>
      <c r="F188" s="9">
        <f t="shared" si="8"/>
        <v>72.1</v>
      </c>
    </row>
    <row r="189" s="1" customFormat="1" spans="1:6">
      <c r="A189" s="8" t="str">
        <f>"2020890707"</f>
        <v>2020890707</v>
      </c>
      <c r="B189" s="9">
        <v>0</v>
      </c>
      <c r="C189" s="9">
        <f t="shared" si="6"/>
        <v>0</v>
      </c>
      <c r="D189" s="10">
        <v>0</v>
      </c>
      <c r="E189" s="9">
        <f t="shared" si="7"/>
        <v>0</v>
      </c>
      <c r="F189" s="9">
        <f t="shared" si="8"/>
        <v>0</v>
      </c>
    </row>
    <row r="190" s="1" customFormat="1" spans="1:6">
      <c r="A190" s="8" t="str">
        <f>"2020890708"</f>
        <v>2020890708</v>
      </c>
      <c r="B190" s="9">
        <v>0</v>
      </c>
      <c r="C190" s="9">
        <f t="shared" si="6"/>
        <v>0</v>
      </c>
      <c r="D190" s="10">
        <v>0</v>
      </c>
      <c r="E190" s="9">
        <f t="shared" si="7"/>
        <v>0</v>
      </c>
      <c r="F190" s="9">
        <f t="shared" si="8"/>
        <v>0</v>
      </c>
    </row>
    <row r="191" s="1" customFormat="1" spans="1:6">
      <c r="A191" s="8" t="str">
        <f>"2020890709"</f>
        <v>2020890709</v>
      </c>
      <c r="B191" s="9">
        <v>67</v>
      </c>
      <c r="C191" s="9">
        <f t="shared" si="6"/>
        <v>20.1</v>
      </c>
      <c r="D191" s="10">
        <v>96</v>
      </c>
      <c r="E191" s="9">
        <f t="shared" si="7"/>
        <v>67.2</v>
      </c>
      <c r="F191" s="9">
        <f t="shared" si="8"/>
        <v>87.3</v>
      </c>
    </row>
    <row r="192" s="1" customFormat="1" spans="1:6">
      <c r="A192" s="8" t="str">
        <f>"2020890710"</f>
        <v>2020890710</v>
      </c>
      <c r="B192" s="9">
        <v>73</v>
      </c>
      <c r="C192" s="9">
        <f t="shared" si="6"/>
        <v>21.9</v>
      </c>
      <c r="D192" s="10">
        <v>73</v>
      </c>
      <c r="E192" s="9">
        <f t="shared" si="7"/>
        <v>51.1</v>
      </c>
      <c r="F192" s="9">
        <f t="shared" si="8"/>
        <v>73</v>
      </c>
    </row>
    <row r="193" s="1" customFormat="1" spans="1:6">
      <c r="A193" s="8" t="str">
        <f>"2020890711"</f>
        <v>2020890711</v>
      </c>
      <c r="B193" s="9">
        <v>71</v>
      </c>
      <c r="C193" s="9">
        <f t="shared" si="6"/>
        <v>21.3</v>
      </c>
      <c r="D193" s="10">
        <v>94</v>
      </c>
      <c r="E193" s="9">
        <f t="shared" si="7"/>
        <v>65.8</v>
      </c>
      <c r="F193" s="9">
        <f t="shared" si="8"/>
        <v>87.1</v>
      </c>
    </row>
    <row r="194" s="1" customFormat="1" spans="1:6">
      <c r="A194" s="8" t="str">
        <f>"2020890712"</f>
        <v>2020890712</v>
      </c>
      <c r="B194" s="9">
        <v>72</v>
      </c>
      <c r="C194" s="9">
        <f t="shared" si="6"/>
        <v>21.6</v>
      </c>
      <c r="D194" s="10">
        <v>83</v>
      </c>
      <c r="E194" s="9">
        <f t="shared" si="7"/>
        <v>58.1</v>
      </c>
      <c r="F194" s="9">
        <f t="shared" si="8"/>
        <v>79.7</v>
      </c>
    </row>
    <row r="195" s="1" customFormat="1" spans="1:6">
      <c r="A195" s="8" t="str">
        <f>"2020890713"</f>
        <v>2020890713</v>
      </c>
      <c r="B195" s="9">
        <v>78</v>
      </c>
      <c r="C195" s="9">
        <f t="shared" ref="C195:C258" si="9">B195*0.3</f>
        <v>23.4</v>
      </c>
      <c r="D195" s="10">
        <v>65</v>
      </c>
      <c r="E195" s="9">
        <f t="shared" ref="E195:E258" si="10">D195*0.7</f>
        <v>45.5</v>
      </c>
      <c r="F195" s="9">
        <f t="shared" ref="F195:F258" si="11">C195+E195</f>
        <v>68.9</v>
      </c>
    </row>
    <row r="196" s="1" customFormat="1" spans="1:6">
      <c r="A196" s="8" t="str">
        <f>"2020890714"</f>
        <v>2020890714</v>
      </c>
      <c r="B196" s="9">
        <v>73</v>
      </c>
      <c r="C196" s="9">
        <f t="shared" si="9"/>
        <v>21.9</v>
      </c>
      <c r="D196" s="10">
        <v>68</v>
      </c>
      <c r="E196" s="9">
        <f t="shared" si="10"/>
        <v>47.6</v>
      </c>
      <c r="F196" s="9">
        <f t="shared" si="11"/>
        <v>69.5</v>
      </c>
    </row>
    <row r="197" s="1" customFormat="1" spans="1:6">
      <c r="A197" s="8" t="str">
        <f>"2020890715"</f>
        <v>2020890715</v>
      </c>
      <c r="B197" s="9">
        <v>79</v>
      </c>
      <c r="C197" s="9">
        <f t="shared" si="9"/>
        <v>23.7</v>
      </c>
      <c r="D197" s="10">
        <v>85</v>
      </c>
      <c r="E197" s="9">
        <f t="shared" si="10"/>
        <v>59.5</v>
      </c>
      <c r="F197" s="9">
        <f t="shared" si="11"/>
        <v>83.2</v>
      </c>
    </row>
    <row r="198" s="1" customFormat="1" spans="1:6">
      <c r="A198" s="8" t="str">
        <f>"2020890716"</f>
        <v>2020890716</v>
      </c>
      <c r="B198" s="9">
        <v>71</v>
      </c>
      <c r="C198" s="9">
        <f t="shared" si="9"/>
        <v>21.3</v>
      </c>
      <c r="D198" s="10">
        <v>88</v>
      </c>
      <c r="E198" s="9">
        <f t="shared" si="10"/>
        <v>61.6</v>
      </c>
      <c r="F198" s="9">
        <f t="shared" si="11"/>
        <v>82.9</v>
      </c>
    </row>
    <row r="199" s="1" customFormat="1" spans="1:6">
      <c r="A199" s="8" t="str">
        <f>"2020890717"</f>
        <v>2020890717</v>
      </c>
      <c r="B199" s="9">
        <v>66</v>
      </c>
      <c r="C199" s="9">
        <f t="shared" si="9"/>
        <v>19.8</v>
      </c>
      <c r="D199" s="10">
        <v>90</v>
      </c>
      <c r="E199" s="9">
        <f t="shared" si="10"/>
        <v>63</v>
      </c>
      <c r="F199" s="9">
        <f t="shared" si="11"/>
        <v>82.8</v>
      </c>
    </row>
    <row r="200" s="1" customFormat="1" spans="1:6">
      <c r="A200" s="8" t="str">
        <f>"2020890718"</f>
        <v>2020890718</v>
      </c>
      <c r="B200" s="9">
        <v>72</v>
      </c>
      <c r="C200" s="9">
        <f t="shared" si="9"/>
        <v>21.6</v>
      </c>
      <c r="D200" s="10">
        <v>60</v>
      </c>
      <c r="E200" s="9">
        <f t="shared" si="10"/>
        <v>42</v>
      </c>
      <c r="F200" s="9">
        <f t="shared" si="11"/>
        <v>63.6</v>
      </c>
    </row>
    <row r="201" s="1" customFormat="1" spans="1:6">
      <c r="A201" s="8" t="str">
        <f>"2020890719"</f>
        <v>2020890719</v>
      </c>
      <c r="B201" s="9">
        <v>74</v>
      </c>
      <c r="C201" s="9">
        <f t="shared" si="9"/>
        <v>22.2</v>
      </c>
      <c r="D201" s="10">
        <v>80</v>
      </c>
      <c r="E201" s="9">
        <f t="shared" si="10"/>
        <v>56</v>
      </c>
      <c r="F201" s="9">
        <f t="shared" si="11"/>
        <v>78.2</v>
      </c>
    </row>
    <row r="202" s="1" customFormat="1" spans="1:6">
      <c r="A202" s="8" t="str">
        <f>"2020890720"</f>
        <v>2020890720</v>
      </c>
      <c r="B202" s="9">
        <v>66</v>
      </c>
      <c r="C202" s="9">
        <f t="shared" si="9"/>
        <v>19.8</v>
      </c>
      <c r="D202" s="10">
        <v>73</v>
      </c>
      <c r="E202" s="9">
        <f t="shared" si="10"/>
        <v>51.1</v>
      </c>
      <c r="F202" s="9">
        <f t="shared" si="11"/>
        <v>70.9</v>
      </c>
    </row>
    <row r="203" s="1" customFormat="1" spans="1:6">
      <c r="A203" s="8" t="str">
        <f>"2020890721"</f>
        <v>2020890721</v>
      </c>
      <c r="B203" s="9">
        <v>65</v>
      </c>
      <c r="C203" s="9">
        <f t="shared" si="9"/>
        <v>19.5</v>
      </c>
      <c r="D203" s="10">
        <v>68</v>
      </c>
      <c r="E203" s="9">
        <f t="shared" si="10"/>
        <v>47.6</v>
      </c>
      <c r="F203" s="9">
        <f t="shared" si="11"/>
        <v>67.1</v>
      </c>
    </row>
    <row r="204" s="1" customFormat="1" spans="1:6">
      <c r="A204" s="8" t="str">
        <f>"2020890722"</f>
        <v>2020890722</v>
      </c>
      <c r="B204" s="9">
        <v>69</v>
      </c>
      <c r="C204" s="9">
        <f t="shared" si="9"/>
        <v>20.7</v>
      </c>
      <c r="D204" s="10">
        <v>68</v>
      </c>
      <c r="E204" s="9">
        <f t="shared" si="10"/>
        <v>47.6</v>
      </c>
      <c r="F204" s="9">
        <f t="shared" si="11"/>
        <v>68.3</v>
      </c>
    </row>
    <row r="205" s="1" customFormat="1" spans="1:6">
      <c r="A205" s="8" t="str">
        <f>"2020890723"</f>
        <v>2020890723</v>
      </c>
      <c r="B205" s="9">
        <v>69</v>
      </c>
      <c r="C205" s="9">
        <f t="shared" si="9"/>
        <v>20.7</v>
      </c>
      <c r="D205" s="10">
        <v>79</v>
      </c>
      <c r="E205" s="9">
        <f t="shared" si="10"/>
        <v>55.3</v>
      </c>
      <c r="F205" s="9">
        <f t="shared" si="11"/>
        <v>76</v>
      </c>
    </row>
    <row r="206" s="1" customFormat="1" spans="1:6">
      <c r="A206" s="8" t="str">
        <f>"2020890724"</f>
        <v>2020890724</v>
      </c>
      <c r="B206" s="9">
        <v>73</v>
      </c>
      <c r="C206" s="9">
        <f t="shared" si="9"/>
        <v>21.9</v>
      </c>
      <c r="D206" s="10">
        <v>81</v>
      </c>
      <c r="E206" s="9">
        <f t="shared" si="10"/>
        <v>56.7</v>
      </c>
      <c r="F206" s="9">
        <f t="shared" si="11"/>
        <v>78.6</v>
      </c>
    </row>
    <row r="207" s="1" customFormat="1" spans="1:6">
      <c r="A207" s="8" t="str">
        <f>"2020890725"</f>
        <v>2020890725</v>
      </c>
      <c r="B207" s="9">
        <v>0</v>
      </c>
      <c r="C207" s="9">
        <f t="shared" si="9"/>
        <v>0</v>
      </c>
      <c r="D207" s="10">
        <v>0</v>
      </c>
      <c r="E207" s="9">
        <f t="shared" si="10"/>
        <v>0</v>
      </c>
      <c r="F207" s="9">
        <f t="shared" si="11"/>
        <v>0</v>
      </c>
    </row>
    <row r="208" s="1" customFormat="1" spans="1:6">
      <c r="A208" s="8" t="str">
        <f>"2020890726"</f>
        <v>2020890726</v>
      </c>
      <c r="B208" s="9">
        <v>55</v>
      </c>
      <c r="C208" s="9">
        <f t="shared" si="9"/>
        <v>16.5</v>
      </c>
      <c r="D208" s="10">
        <v>81</v>
      </c>
      <c r="E208" s="9">
        <f t="shared" si="10"/>
        <v>56.7</v>
      </c>
      <c r="F208" s="9">
        <f t="shared" si="11"/>
        <v>73.2</v>
      </c>
    </row>
    <row r="209" s="1" customFormat="1" spans="1:6">
      <c r="A209" s="8" t="str">
        <f>"2020890727"</f>
        <v>2020890727</v>
      </c>
      <c r="B209" s="9">
        <v>0</v>
      </c>
      <c r="C209" s="9">
        <f t="shared" si="9"/>
        <v>0</v>
      </c>
      <c r="D209" s="10">
        <v>0</v>
      </c>
      <c r="E209" s="9">
        <f t="shared" si="10"/>
        <v>0</v>
      </c>
      <c r="F209" s="9">
        <f t="shared" si="11"/>
        <v>0</v>
      </c>
    </row>
    <row r="210" s="1" customFormat="1" spans="1:6">
      <c r="A210" s="8" t="str">
        <f>"2020890728"</f>
        <v>2020890728</v>
      </c>
      <c r="B210" s="9">
        <v>0</v>
      </c>
      <c r="C210" s="9">
        <f t="shared" si="9"/>
        <v>0</v>
      </c>
      <c r="D210" s="10">
        <v>0</v>
      </c>
      <c r="E210" s="9">
        <f t="shared" si="10"/>
        <v>0</v>
      </c>
      <c r="F210" s="9">
        <f t="shared" si="11"/>
        <v>0</v>
      </c>
    </row>
    <row r="211" s="1" customFormat="1" spans="1:6">
      <c r="A211" s="8" t="str">
        <f>"2020890729"</f>
        <v>2020890729</v>
      </c>
      <c r="B211" s="9">
        <v>53</v>
      </c>
      <c r="C211" s="9">
        <f t="shared" si="9"/>
        <v>15.9</v>
      </c>
      <c r="D211" s="10">
        <v>54</v>
      </c>
      <c r="E211" s="9">
        <f t="shared" si="10"/>
        <v>37.8</v>
      </c>
      <c r="F211" s="9">
        <f t="shared" si="11"/>
        <v>53.7</v>
      </c>
    </row>
    <row r="212" s="1" customFormat="1" spans="1:6">
      <c r="A212" s="8" t="str">
        <f>"2020890730"</f>
        <v>2020890730</v>
      </c>
      <c r="B212" s="9">
        <v>79</v>
      </c>
      <c r="C212" s="9">
        <f t="shared" si="9"/>
        <v>23.7</v>
      </c>
      <c r="D212" s="10">
        <v>86</v>
      </c>
      <c r="E212" s="9">
        <f t="shared" si="10"/>
        <v>60.2</v>
      </c>
      <c r="F212" s="9">
        <f t="shared" si="11"/>
        <v>83.9</v>
      </c>
    </row>
    <row r="213" s="1" customFormat="1" spans="1:6">
      <c r="A213" s="8" t="str">
        <f>"2020890801"</f>
        <v>2020890801</v>
      </c>
      <c r="B213" s="9">
        <v>65</v>
      </c>
      <c r="C213" s="9">
        <f t="shared" si="9"/>
        <v>19.5</v>
      </c>
      <c r="D213" s="10">
        <v>66</v>
      </c>
      <c r="E213" s="9">
        <f t="shared" si="10"/>
        <v>46.2</v>
      </c>
      <c r="F213" s="9">
        <f t="shared" si="11"/>
        <v>65.7</v>
      </c>
    </row>
    <row r="214" s="1" customFormat="1" spans="1:6">
      <c r="A214" s="8" t="str">
        <f>"2020890802"</f>
        <v>2020890802</v>
      </c>
      <c r="B214" s="9">
        <v>67</v>
      </c>
      <c r="C214" s="9">
        <f t="shared" si="9"/>
        <v>20.1</v>
      </c>
      <c r="D214" s="10">
        <v>89</v>
      </c>
      <c r="E214" s="9">
        <f t="shared" si="10"/>
        <v>62.3</v>
      </c>
      <c r="F214" s="9">
        <f t="shared" si="11"/>
        <v>82.4</v>
      </c>
    </row>
    <row r="215" s="1" customFormat="1" spans="1:6">
      <c r="A215" s="8" t="str">
        <f>"2020890803"</f>
        <v>2020890803</v>
      </c>
      <c r="B215" s="9">
        <v>79</v>
      </c>
      <c r="C215" s="9">
        <f t="shared" si="9"/>
        <v>23.7</v>
      </c>
      <c r="D215" s="10">
        <v>86</v>
      </c>
      <c r="E215" s="9">
        <f t="shared" si="10"/>
        <v>60.2</v>
      </c>
      <c r="F215" s="9">
        <f t="shared" si="11"/>
        <v>83.9</v>
      </c>
    </row>
    <row r="216" s="1" customFormat="1" spans="1:6">
      <c r="A216" s="8" t="str">
        <f>"2020890804"</f>
        <v>2020890804</v>
      </c>
      <c r="B216" s="9">
        <v>55</v>
      </c>
      <c r="C216" s="9">
        <f t="shared" si="9"/>
        <v>16.5</v>
      </c>
      <c r="D216" s="10">
        <v>60</v>
      </c>
      <c r="E216" s="9">
        <f t="shared" si="10"/>
        <v>42</v>
      </c>
      <c r="F216" s="9">
        <f t="shared" si="11"/>
        <v>58.5</v>
      </c>
    </row>
    <row r="217" s="1" customFormat="1" spans="1:6">
      <c r="A217" s="8" t="str">
        <f>"2020890805"</f>
        <v>2020890805</v>
      </c>
      <c r="B217" s="9">
        <v>75</v>
      </c>
      <c r="C217" s="9">
        <f t="shared" si="9"/>
        <v>22.5</v>
      </c>
      <c r="D217" s="10">
        <v>75</v>
      </c>
      <c r="E217" s="9">
        <f t="shared" si="10"/>
        <v>52.5</v>
      </c>
      <c r="F217" s="9">
        <f t="shared" si="11"/>
        <v>75</v>
      </c>
    </row>
    <row r="218" s="1" customFormat="1" spans="1:6">
      <c r="A218" s="8" t="str">
        <f>"2020890806"</f>
        <v>2020890806</v>
      </c>
      <c r="B218" s="9">
        <v>70</v>
      </c>
      <c r="C218" s="9">
        <f t="shared" si="9"/>
        <v>21</v>
      </c>
      <c r="D218" s="10">
        <v>73</v>
      </c>
      <c r="E218" s="9">
        <f t="shared" si="10"/>
        <v>51.1</v>
      </c>
      <c r="F218" s="9">
        <f t="shared" si="11"/>
        <v>72.1</v>
      </c>
    </row>
    <row r="219" s="1" customFormat="1" spans="1:6">
      <c r="A219" s="8" t="str">
        <f>"2020890807"</f>
        <v>2020890807</v>
      </c>
      <c r="B219" s="9">
        <v>0</v>
      </c>
      <c r="C219" s="9">
        <f t="shared" si="9"/>
        <v>0</v>
      </c>
      <c r="D219" s="10">
        <v>0</v>
      </c>
      <c r="E219" s="9">
        <f t="shared" si="10"/>
        <v>0</v>
      </c>
      <c r="F219" s="9">
        <f t="shared" si="11"/>
        <v>0</v>
      </c>
    </row>
    <row r="220" s="1" customFormat="1" spans="1:6">
      <c r="A220" s="8" t="str">
        <f>"2020890808"</f>
        <v>2020890808</v>
      </c>
      <c r="B220" s="9">
        <v>72</v>
      </c>
      <c r="C220" s="9">
        <f t="shared" si="9"/>
        <v>21.6</v>
      </c>
      <c r="D220" s="10">
        <v>69</v>
      </c>
      <c r="E220" s="9">
        <f t="shared" si="10"/>
        <v>48.3</v>
      </c>
      <c r="F220" s="9">
        <f t="shared" si="11"/>
        <v>69.9</v>
      </c>
    </row>
    <row r="221" s="1" customFormat="1" spans="1:6">
      <c r="A221" s="8" t="str">
        <f>"2020890809"</f>
        <v>2020890809</v>
      </c>
      <c r="B221" s="9">
        <v>0</v>
      </c>
      <c r="C221" s="9">
        <f t="shared" si="9"/>
        <v>0</v>
      </c>
      <c r="D221" s="10">
        <v>0</v>
      </c>
      <c r="E221" s="9">
        <f t="shared" si="10"/>
        <v>0</v>
      </c>
      <c r="F221" s="9">
        <f t="shared" si="11"/>
        <v>0</v>
      </c>
    </row>
    <row r="222" s="1" customFormat="1" spans="1:6">
      <c r="A222" s="8" t="str">
        <f>"2020890810"</f>
        <v>2020890810</v>
      </c>
      <c r="B222" s="9">
        <v>62</v>
      </c>
      <c r="C222" s="9">
        <f t="shared" si="9"/>
        <v>18.6</v>
      </c>
      <c r="D222" s="10">
        <v>56</v>
      </c>
      <c r="E222" s="9">
        <f t="shared" si="10"/>
        <v>39.2</v>
      </c>
      <c r="F222" s="9">
        <f t="shared" si="11"/>
        <v>57.8</v>
      </c>
    </row>
    <row r="223" s="1" customFormat="1" spans="1:6">
      <c r="A223" s="8" t="str">
        <f>"2020890811"</f>
        <v>2020890811</v>
      </c>
      <c r="B223" s="9">
        <v>50</v>
      </c>
      <c r="C223" s="9">
        <f t="shared" si="9"/>
        <v>15</v>
      </c>
      <c r="D223" s="10">
        <v>59</v>
      </c>
      <c r="E223" s="9">
        <f t="shared" si="10"/>
        <v>41.3</v>
      </c>
      <c r="F223" s="9">
        <f t="shared" si="11"/>
        <v>56.3</v>
      </c>
    </row>
    <row r="224" s="1" customFormat="1" spans="1:6">
      <c r="A224" s="8" t="str">
        <f>"2020890812"</f>
        <v>2020890812</v>
      </c>
      <c r="B224" s="9">
        <v>64</v>
      </c>
      <c r="C224" s="9">
        <f t="shared" si="9"/>
        <v>19.2</v>
      </c>
      <c r="D224" s="10">
        <v>75</v>
      </c>
      <c r="E224" s="9">
        <f t="shared" si="10"/>
        <v>52.5</v>
      </c>
      <c r="F224" s="9">
        <f t="shared" si="11"/>
        <v>71.7</v>
      </c>
    </row>
    <row r="225" s="1" customFormat="1" spans="1:6">
      <c r="A225" s="8" t="str">
        <f>"2020890813"</f>
        <v>2020890813</v>
      </c>
      <c r="B225" s="9">
        <v>0</v>
      </c>
      <c r="C225" s="9">
        <f t="shared" si="9"/>
        <v>0</v>
      </c>
      <c r="D225" s="10">
        <v>0</v>
      </c>
      <c r="E225" s="9">
        <f t="shared" si="10"/>
        <v>0</v>
      </c>
      <c r="F225" s="9">
        <f t="shared" si="11"/>
        <v>0</v>
      </c>
    </row>
    <row r="226" s="1" customFormat="1" spans="1:6">
      <c r="A226" s="8" t="str">
        <f>"2020890814"</f>
        <v>2020890814</v>
      </c>
      <c r="B226" s="9">
        <v>80</v>
      </c>
      <c r="C226" s="9">
        <f t="shared" si="9"/>
        <v>24</v>
      </c>
      <c r="D226" s="10">
        <v>85</v>
      </c>
      <c r="E226" s="9">
        <f t="shared" si="10"/>
        <v>59.5</v>
      </c>
      <c r="F226" s="9">
        <f t="shared" si="11"/>
        <v>83.5</v>
      </c>
    </row>
    <row r="227" s="1" customFormat="1" spans="1:6">
      <c r="A227" s="8" t="str">
        <f>"2020890815"</f>
        <v>2020890815</v>
      </c>
      <c r="B227" s="9">
        <v>67</v>
      </c>
      <c r="C227" s="9">
        <f t="shared" si="9"/>
        <v>20.1</v>
      </c>
      <c r="D227" s="10">
        <v>71</v>
      </c>
      <c r="E227" s="9">
        <f t="shared" si="10"/>
        <v>49.7</v>
      </c>
      <c r="F227" s="9">
        <f t="shared" si="11"/>
        <v>69.8</v>
      </c>
    </row>
    <row r="228" s="1" customFormat="1" spans="1:6">
      <c r="A228" s="8" t="str">
        <f>"2020890816"</f>
        <v>2020890816</v>
      </c>
      <c r="B228" s="9">
        <v>0</v>
      </c>
      <c r="C228" s="9">
        <f t="shared" si="9"/>
        <v>0</v>
      </c>
      <c r="D228" s="10">
        <v>0</v>
      </c>
      <c r="E228" s="9">
        <f t="shared" si="10"/>
        <v>0</v>
      </c>
      <c r="F228" s="9">
        <f t="shared" si="11"/>
        <v>0</v>
      </c>
    </row>
    <row r="229" s="1" customFormat="1" spans="1:6">
      <c r="A229" s="8" t="str">
        <f>"2020890817"</f>
        <v>2020890817</v>
      </c>
      <c r="B229" s="9">
        <v>67</v>
      </c>
      <c r="C229" s="9">
        <f t="shared" si="9"/>
        <v>20.1</v>
      </c>
      <c r="D229" s="10">
        <v>74</v>
      </c>
      <c r="E229" s="9">
        <f t="shared" si="10"/>
        <v>51.8</v>
      </c>
      <c r="F229" s="9">
        <f t="shared" si="11"/>
        <v>71.9</v>
      </c>
    </row>
    <row r="230" s="1" customFormat="1" spans="1:6">
      <c r="A230" s="8" t="str">
        <f>"2020890818"</f>
        <v>2020890818</v>
      </c>
      <c r="B230" s="9">
        <v>57</v>
      </c>
      <c r="C230" s="9">
        <f t="shared" si="9"/>
        <v>17.1</v>
      </c>
      <c r="D230" s="10">
        <v>76</v>
      </c>
      <c r="E230" s="9">
        <f t="shared" si="10"/>
        <v>53.2</v>
      </c>
      <c r="F230" s="9">
        <f t="shared" si="11"/>
        <v>70.3</v>
      </c>
    </row>
    <row r="231" s="1" customFormat="1" spans="1:6">
      <c r="A231" s="8" t="str">
        <f>"2020890819"</f>
        <v>2020890819</v>
      </c>
      <c r="B231" s="9">
        <v>65</v>
      </c>
      <c r="C231" s="9">
        <f t="shared" si="9"/>
        <v>19.5</v>
      </c>
      <c r="D231" s="10">
        <v>81</v>
      </c>
      <c r="E231" s="9">
        <f t="shared" si="10"/>
        <v>56.7</v>
      </c>
      <c r="F231" s="9">
        <f t="shared" si="11"/>
        <v>76.2</v>
      </c>
    </row>
    <row r="232" s="1" customFormat="1" spans="1:6">
      <c r="A232" s="8" t="str">
        <f>"2020890820"</f>
        <v>2020890820</v>
      </c>
      <c r="B232" s="9">
        <v>52</v>
      </c>
      <c r="C232" s="9">
        <f t="shared" si="9"/>
        <v>15.6</v>
      </c>
      <c r="D232" s="10">
        <v>60</v>
      </c>
      <c r="E232" s="9">
        <f t="shared" si="10"/>
        <v>42</v>
      </c>
      <c r="F232" s="9">
        <f t="shared" si="11"/>
        <v>57.6</v>
      </c>
    </row>
    <row r="233" s="1" customFormat="1" spans="1:6">
      <c r="A233" s="8" t="str">
        <f>"2020890821"</f>
        <v>2020890821</v>
      </c>
      <c r="B233" s="9">
        <v>67</v>
      </c>
      <c r="C233" s="9">
        <f t="shared" si="9"/>
        <v>20.1</v>
      </c>
      <c r="D233" s="10">
        <v>80</v>
      </c>
      <c r="E233" s="9">
        <f t="shared" si="10"/>
        <v>56</v>
      </c>
      <c r="F233" s="9">
        <f t="shared" si="11"/>
        <v>76.1</v>
      </c>
    </row>
    <row r="234" s="1" customFormat="1" spans="1:6">
      <c r="A234" s="8" t="str">
        <f>"2020890822"</f>
        <v>2020890822</v>
      </c>
      <c r="B234" s="9">
        <v>65</v>
      </c>
      <c r="C234" s="9">
        <f t="shared" si="9"/>
        <v>19.5</v>
      </c>
      <c r="D234" s="10">
        <v>62</v>
      </c>
      <c r="E234" s="9">
        <f t="shared" si="10"/>
        <v>43.4</v>
      </c>
      <c r="F234" s="9">
        <f t="shared" si="11"/>
        <v>62.9</v>
      </c>
    </row>
    <row r="235" s="1" customFormat="1" spans="1:6">
      <c r="A235" s="8" t="str">
        <f>"2020890823"</f>
        <v>2020890823</v>
      </c>
      <c r="B235" s="9">
        <v>0</v>
      </c>
      <c r="C235" s="9">
        <f t="shared" si="9"/>
        <v>0</v>
      </c>
      <c r="D235" s="10">
        <v>0</v>
      </c>
      <c r="E235" s="9">
        <f t="shared" si="10"/>
        <v>0</v>
      </c>
      <c r="F235" s="9">
        <f t="shared" si="11"/>
        <v>0</v>
      </c>
    </row>
    <row r="236" s="1" customFormat="1" spans="1:6">
      <c r="A236" s="8" t="str">
        <f>"2020890824"</f>
        <v>2020890824</v>
      </c>
      <c r="B236" s="9">
        <v>54</v>
      </c>
      <c r="C236" s="9">
        <f t="shared" si="9"/>
        <v>16.2</v>
      </c>
      <c r="D236" s="10">
        <v>82</v>
      </c>
      <c r="E236" s="9">
        <f t="shared" si="10"/>
        <v>57.4</v>
      </c>
      <c r="F236" s="9">
        <f t="shared" si="11"/>
        <v>73.6</v>
      </c>
    </row>
    <row r="237" s="1" customFormat="1" spans="1:6">
      <c r="A237" s="8" t="str">
        <f>"2020890825"</f>
        <v>2020890825</v>
      </c>
      <c r="B237" s="9">
        <v>64</v>
      </c>
      <c r="C237" s="9">
        <f t="shared" si="9"/>
        <v>19.2</v>
      </c>
      <c r="D237" s="10">
        <v>88</v>
      </c>
      <c r="E237" s="9">
        <f t="shared" si="10"/>
        <v>61.6</v>
      </c>
      <c r="F237" s="9">
        <f t="shared" si="11"/>
        <v>80.8</v>
      </c>
    </row>
    <row r="238" s="1" customFormat="1" spans="1:6">
      <c r="A238" s="8" t="str">
        <f>"2020890826"</f>
        <v>2020890826</v>
      </c>
      <c r="B238" s="9">
        <v>68</v>
      </c>
      <c r="C238" s="9">
        <f t="shared" si="9"/>
        <v>20.4</v>
      </c>
      <c r="D238" s="10">
        <v>63</v>
      </c>
      <c r="E238" s="9">
        <f t="shared" si="10"/>
        <v>44.1</v>
      </c>
      <c r="F238" s="9">
        <f t="shared" si="11"/>
        <v>64.5</v>
      </c>
    </row>
    <row r="239" s="1" customFormat="1" spans="1:6">
      <c r="A239" s="8" t="str">
        <f>"2020890827"</f>
        <v>2020890827</v>
      </c>
      <c r="B239" s="9">
        <v>60</v>
      </c>
      <c r="C239" s="9">
        <f t="shared" si="9"/>
        <v>18</v>
      </c>
      <c r="D239" s="10">
        <v>66</v>
      </c>
      <c r="E239" s="9">
        <f t="shared" si="10"/>
        <v>46.2</v>
      </c>
      <c r="F239" s="9">
        <f t="shared" si="11"/>
        <v>64.2</v>
      </c>
    </row>
    <row r="240" s="1" customFormat="1" spans="1:6">
      <c r="A240" s="8" t="str">
        <f>"2020890828"</f>
        <v>2020890828</v>
      </c>
      <c r="B240" s="9">
        <v>0</v>
      </c>
      <c r="C240" s="9">
        <f t="shared" si="9"/>
        <v>0</v>
      </c>
      <c r="D240" s="10">
        <v>0</v>
      </c>
      <c r="E240" s="9">
        <f t="shared" si="10"/>
        <v>0</v>
      </c>
      <c r="F240" s="9">
        <f t="shared" si="11"/>
        <v>0</v>
      </c>
    </row>
    <row r="241" s="1" customFormat="1" spans="1:6">
      <c r="A241" s="8" t="str">
        <f>"2020890829"</f>
        <v>2020890829</v>
      </c>
      <c r="B241" s="9">
        <v>65</v>
      </c>
      <c r="C241" s="9">
        <f t="shared" si="9"/>
        <v>19.5</v>
      </c>
      <c r="D241" s="10">
        <v>79</v>
      </c>
      <c r="E241" s="9">
        <f t="shared" si="10"/>
        <v>55.3</v>
      </c>
      <c r="F241" s="9">
        <f t="shared" si="11"/>
        <v>74.8</v>
      </c>
    </row>
    <row r="242" s="1" customFormat="1" spans="1:6">
      <c r="A242" s="8" t="str">
        <f>"2020890830"</f>
        <v>2020890830</v>
      </c>
      <c r="B242" s="9">
        <v>69</v>
      </c>
      <c r="C242" s="9">
        <f t="shared" si="9"/>
        <v>20.7</v>
      </c>
      <c r="D242" s="10">
        <v>75</v>
      </c>
      <c r="E242" s="9">
        <f t="shared" si="10"/>
        <v>52.5</v>
      </c>
      <c r="F242" s="9">
        <f t="shared" si="11"/>
        <v>73.2</v>
      </c>
    </row>
    <row r="243" s="1" customFormat="1" spans="1:6">
      <c r="A243" s="8" t="str">
        <f>"2020890901"</f>
        <v>2020890901</v>
      </c>
      <c r="B243" s="9">
        <v>72</v>
      </c>
      <c r="C243" s="9">
        <f t="shared" si="9"/>
        <v>21.6</v>
      </c>
      <c r="D243" s="10">
        <v>88</v>
      </c>
      <c r="E243" s="9">
        <f t="shared" si="10"/>
        <v>61.6</v>
      </c>
      <c r="F243" s="9">
        <f t="shared" si="11"/>
        <v>83.2</v>
      </c>
    </row>
    <row r="244" s="1" customFormat="1" spans="1:6">
      <c r="A244" s="8" t="str">
        <f>"2020890902"</f>
        <v>2020890902</v>
      </c>
      <c r="B244" s="9">
        <v>0</v>
      </c>
      <c r="C244" s="9">
        <f t="shared" si="9"/>
        <v>0</v>
      </c>
      <c r="D244" s="10">
        <v>0</v>
      </c>
      <c r="E244" s="9">
        <f t="shared" si="10"/>
        <v>0</v>
      </c>
      <c r="F244" s="9">
        <f t="shared" si="11"/>
        <v>0</v>
      </c>
    </row>
    <row r="245" s="1" customFormat="1" spans="1:6">
      <c r="A245" s="8" t="str">
        <f>"2020890903"</f>
        <v>2020890903</v>
      </c>
      <c r="B245" s="9">
        <v>71</v>
      </c>
      <c r="C245" s="9">
        <f t="shared" si="9"/>
        <v>21.3</v>
      </c>
      <c r="D245" s="10">
        <v>91</v>
      </c>
      <c r="E245" s="9">
        <f t="shared" si="10"/>
        <v>63.7</v>
      </c>
      <c r="F245" s="9">
        <f t="shared" si="11"/>
        <v>85</v>
      </c>
    </row>
    <row r="246" s="1" customFormat="1" spans="1:6">
      <c r="A246" s="8" t="str">
        <f>"2020890904"</f>
        <v>2020890904</v>
      </c>
      <c r="B246" s="9">
        <v>62</v>
      </c>
      <c r="C246" s="9">
        <f t="shared" si="9"/>
        <v>18.6</v>
      </c>
      <c r="D246" s="10">
        <v>71</v>
      </c>
      <c r="E246" s="9">
        <f t="shared" si="10"/>
        <v>49.7</v>
      </c>
      <c r="F246" s="9">
        <f t="shared" si="11"/>
        <v>68.3</v>
      </c>
    </row>
    <row r="247" s="1" customFormat="1" spans="1:6">
      <c r="A247" s="8" t="str">
        <f>"2020890905"</f>
        <v>2020890905</v>
      </c>
      <c r="B247" s="9">
        <v>58</v>
      </c>
      <c r="C247" s="9">
        <f t="shared" si="9"/>
        <v>17.4</v>
      </c>
      <c r="D247" s="10">
        <v>84</v>
      </c>
      <c r="E247" s="9">
        <f t="shared" si="10"/>
        <v>58.8</v>
      </c>
      <c r="F247" s="9">
        <f t="shared" si="11"/>
        <v>76.2</v>
      </c>
    </row>
    <row r="248" s="1" customFormat="1" spans="1:6">
      <c r="A248" s="8" t="str">
        <f>"2020890906"</f>
        <v>2020890906</v>
      </c>
      <c r="B248" s="9">
        <v>83</v>
      </c>
      <c r="C248" s="9">
        <f t="shared" si="9"/>
        <v>24.9</v>
      </c>
      <c r="D248" s="10">
        <v>88</v>
      </c>
      <c r="E248" s="9">
        <f t="shared" si="10"/>
        <v>61.6</v>
      </c>
      <c r="F248" s="9">
        <f t="shared" si="11"/>
        <v>86.5</v>
      </c>
    </row>
    <row r="249" s="1" customFormat="1" spans="1:6">
      <c r="A249" s="8" t="str">
        <f>"2020890907"</f>
        <v>2020890907</v>
      </c>
      <c r="B249" s="9">
        <v>64</v>
      </c>
      <c r="C249" s="9">
        <f t="shared" si="9"/>
        <v>19.2</v>
      </c>
      <c r="D249" s="10">
        <v>81</v>
      </c>
      <c r="E249" s="9">
        <f t="shared" si="10"/>
        <v>56.7</v>
      </c>
      <c r="F249" s="9">
        <f t="shared" si="11"/>
        <v>75.9</v>
      </c>
    </row>
    <row r="250" s="1" customFormat="1" spans="1:6">
      <c r="A250" s="8" t="str">
        <f>"2020890908"</f>
        <v>2020890908</v>
      </c>
      <c r="B250" s="9">
        <v>67</v>
      </c>
      <c r="C250" s="9">
        <f t="shared" si="9"/>
        <v>20.1</v>
      </c>
      <c r="D250" s="10">
        <v>98</v>
      </c>
      <c r="E250" s="9">
        <f t="shared" si="10"/>
        <v>68.6</v>
      </c>
      <c r="F250" s="9">
        <f t="shared" si="11"/>
        <v>88.7</v>
      </c>
    </row>
    <row r="251" s="1" customFormat="1" spans="1:6">
      <c r="A251" s="8" t="str">
        <f>"2020890909"</f>
        <v>2020890909</v>
      </c>
      <c r="B251" s="9">
        <v>0</v>
      </c>
      <c r="C251" s="9">
        <f t="shared" si="9"/>
        <v>0</v>
      </c>
      <c r="D251" s="10">
        <v>0</v>
      </c>
      <c r="E251" s="9">
        <f t="shared" si="10"/>
        <v>0</v>
      </c>
      <c r="F251" s="9">
        <f t="shared" si="11"/>
        <v>0</v>
      </c>
    </row>
    <row r="252" s="1" customFormat="1" spans="1:6">
      <c r="A252" s="8" t="str">
        <f>"2020890910"</f>
        <v>2020890910</v>
      </c>
      <c r="B252" s="9">
        <v>68</v>
      </c>
      <c r="C252" s="9">
        <f t="shared" si="9"/>
        <v>20.4</v>
      </c>
      <c r="D252" s="10">
        <v>92</v>
      </c>
      <c r="E252" s="9">
        <f t="shared" si="10"/>
        <v>64.4</v>
      </c>
      <c r="F252" s="9">
        <f t="shared" si="11"/>
        <v>84.8</v>
      </c>
    </row>
    <row r="253" s="1" customFormat="1" spans="1:6">
      <c r="A253" s="8" t="str">
        <f>"2020890911"</f>
        <v>2020890911</v>
      </c>
      <c r="B253" s="9">
        <v>0</v>
      </c>
      <c r="C253" s="9">
        <f t="shared" si="9"/>
        <v>0</v>
      </c>
      <c r="D253" s="10">
        <v>0</v>
      </c>
      <c r="E253" s="9">
        <f t="shared" si="10"/>
        <v>0</v>
      </c>
      <c r="F253" s="9">
        <f t="shared" si="11"/>
        <v>0</v>
      </c>
    </row>
    <row r="254" s="1" customFormat="1" spans="1:6">
      <c r="A254" s="8" t="str">
        <f>"2020890912"</f>
        <v>2020890912</v>
      </c>
      <c r="B254" s="9">
        <v>81</v>
      </c>
      <c r="C254" s="9">
        <f t="shared" si="9"/>
        <v>24.3</v>
      </c>
      <c r="D254" s="10">
        <v>89</v>
      </c>
      <c r="E254" s="9">
        <f t="shared" si="10"/>
        <v>62.3</v>
      </c>
      <c r="F254" s="9">
        <f t="shared" si="11"/>
        <v>86.6</v>
      </c>
    </row>
    <row r="255" s="1" customFormat="1" spans="1:6">
      <c r="A255" s="8" t="str">
        <f>"2020890913"</f>
        <v>2020890913</v>
      </c>
      <c r="B255" s="9">
        <v>61</v>
      </c>
      <c r="C255" s="9">
        <f t="shared" si="9"/>
        <v>18.3</v>
      </c>
      <c r="D255" s="10">
        <v>78</v>
      </c>
      <c r="E255" s="9">
        <f t="shared" si="10"/>
        <v>54.6</v>
      </c>
      <c r="F255" s="9">
        <f t="shared" si="11"/>
        <v>72.9</v>
      </c>
    </row>
    <row r="256" s="1" customFormat="1" spans="1:6">
      <c r="A256" s="8" t="str">
        <f>"2020890914"</f>
        <v>2020890914</v>
      </c>
      <c r="B256" s="9">
        <v>0</v>
      </c>
      <c r="C256" s="9">
        <f t="shared" si="9"/>
        <v>0</v>
      </c>
      <c r="D256" s="10">
        <v>0</v>
      </c>
      <c r="E256" s="9">
        <f t="shared" si="10"/>
        <v>0</v>
      </c>
      <c r="F256" s="9">
        <f t="shared" si="11"/>
        <v>0</v>
      </c>
    </row>
    <row r="257" s="1" customFormat="1" spans="1:6">
      <c r="A257" s="8" t="str">
        <f>"2020890915"</f>
        <v>2020890915</v>
      </c>
      <c r="B257" s="9">
        <v>61</v>
      </c>
      <c r="C257" s="9">
        <f t="shared" si="9"/>
        <v>18.3</v>
      </c>
      <c r="D257" s="10">
        <v>80</v>
      </c>
      <c r="E257" s="9">
        <f t="shared" si="10"/>
        <v>56</v>
      </c>
      <c r="F257" s="9">
        <f t="shared" si="11"/>
        <v>74.3</v>
      </c>
    </row>
    <row r="258" s="1" customFormat="1" spans="1:6">
      <c r="A258" s="8" t="str">
        <f>"2020890916"</f>
        <v>2020890916</v>
      </c>
      <c r="B258" s="9">
        <v>65</v>
      </c>
      <c r="C258" s="9">
        <f t="shared" si="9"/>
        <v>19.5</v>
      </c>
      <c r="D258" s="10">
        <v>56</v>
      </c>
      <c r="E258" s="9">
        <f t="shared" si="10"/>
        <v>39.2</v>
      </c>
      <c r="F258" s="9">
        <f t="shared" si="11"/>
        <v>58.7</v>
      </c>
    </row>
    <row r="259" s="1" customFormat="1" spans="1:6">
      <c r="A259" s="8" t="str">
        <f>"2020890917"</f>
        <v>2020890917</v>
      </c>
      <c r="B259" s="9">
        <v>0</v>
      </c>
      <c r="C259" s="9">
        <f t="shared" ref="C259:C322" si="12">B259*0.3</f>
        <v>0</v>
      </c>
      <c r="D259" s="10">
        <v>0</v>
      </c>
      <c r="E259" s="9">
        <f t="shared" ref="E259:E322" si="13">D259*0.7</f>
        <v>0</v>
      </c>
      <c r="F259" s="9">
        <f t="shared" ref="F259:F322" si="14">C259+E259</f>
        <v>0</v>
      </c>
    </row>
    <row r="260" s="1" customFormat="1" spans="1:6">
      <c r="A260" s="8" t="str">
        <f>"2020890918"</f>
        <v>2020890918</v>
      </c>
      <c r="B260" s="9">
        <v>71</v>
      </c>
      <c r="C260" s="9">
        <f t="shared" si="12"/>
        <v>21.3</v>
      </c>
      <c r="D260" s="10">
        <v>78</v>
      </c>
      <c r="E260" s="9">
        <f t="shared" si="13"/>
        <v>54.6</v>
      </c>
      <c r="F260" s="9">
        <f t="shared" si="14"/>
        <v>75.9</v>
      </c>
    </row>
    <row r="261" s="1" customFormat="1" spans="1:6">
      <c r="A261" s="8" t="str">
        <f>"2020890919"</f>
        <v>2020890919</v>
      </c>
      <c r="B261" s="9">
        <v>52</v>
      </c>
      <c r="C261" s="9">
        <f t="shared" si="12"/>
        <v>15.6</v>
      </c>
      <c r="D261" s="10">
        <v>45</v>
      </c>
      <c r="E261" s="9">
        <f t="shared" si="13"/>
        <v>31.5</v>
      </c>
      <c r="F261" s="9">
        <f t="shared" si="14"/>
        <v>47.1</v>
      </c>
    </row>
    <row r="262" s="1" customFormat="1" spans="1:6">
      <c r="A262" s="8" t="str">
        <f>"2020890920"</f>
        <v>2020890920</v>
      </c>
      <c r="B262" s="9">
        <v>0</v>
      </c>
      <c r="C262" s="9">
        <f t="shared" si="12"/>
        <v>0</v>
      </c>
      <c r="D262" s="10">
        <v>0</v>
      </c>
      <c r="E262" s="9">
        <f t="shared" si="13"/>
        <v>0</v>
      </c>
      <c r="F262" s="9">
        <f t="shared" si="14"/>
        <v>0</v>
      </c>
    </row>
    <row r="263" s="1" customFormat="1" spans="1:6">
      <c r="A263" s="8" t="str">
        <f>"2020890921"</f>
        <v>2020890921</v>
      </c>
      <c r="B263" s="9">
        <v>69</v>
      </c>
      <c r="C263" s="9">
        <f t="shared" si="12"/>
        <v>20.7</v>
      </c>
      <c r="D263" s="10">
        <v>84</v>
      </c>
      <c r="E263" s="9">
        <f t="shared" si="13"/>
        <v>58.8</v>
      </c>
      <c r="F263" s="9">
        <f t="shared" si="14"/>
        <v>79.5</v>
      </c>
    </row>
    <row r="264" s="1" customFormat="1" spans="1:6">
      <c r="A264" s="8" t="str">
        <f>"2020890922"</f>
        <v>2020890922</v>
      </c>
      <c r="B264" s="9">
        <v>76</v>
      </c>
      <c r="C264" s="9">
        <f t="shared" si="12"/>
        <v>22.8</v>
      </c>
      <c r="D264" s="10">
        <v>80</v>
      </c>
      <c r="E264" s="9">
        <f t="shared" si="13"/>
        <v>56</v>
      </c>
      <c r="F264" s="9">
        <f t="shared" si="14"/>
        <v>78.8</v>
      </c>
    </row>
    <row r="265" s="1" customFormat="1" spans="1:6">
      <c r="A265" s="8" t="str">
        <f>"2020890923"</f>
        <v>2020890923</v>
      </c>
      <c r="B265" s="9">
        <v>61</v>
      </c>
      <c r="C265" s="9">
        <f t="shared" si="12"/>
        <v>18.3</v>
      </c>
      <c r="D265" s="10">
        <v>91</v>
      </c>
      <c r="E265" s="9">
        <f t="shared" si="13"/>
        <v>63.7</v>
      </c>
      <c r="F265" s="9">
        <f t="shared" si="14"/>
        <v>82</v>
      </c>
    </row>
    <row r="266" s="1" customFormat="1" spans="1:6">
      <c r="A266" s="8" t="str">
        <f>"2020890924"</f>
        <v>2020890924</v>
      </c>
      <c r="B266" s="9">
        <v>73</v>
      </c>
      <c r="C266" s="9">
        <f t="shared" si="12"/>
        <v>21.9</v>
      </c>
      <c r="D266" s="10">
        <v>84</v>
      </c>
      <c r="E266" s="9">
        <f t="shared" si="13"/>
        <v>58.8</v>
      </c>
      <c r="F266" s="9">
        <f t="shared" si="14"/>
        <v>80.7</v>
      </c>
    </row>
    <row r="267" s="1" customFormat="1" spans="1:6">
      <c r="A267" s="8" t="str">
        <f>"2020890925"</f>
        <v>2020890925</v>
      </c>
      <c r="B267" s="9">
        <v>61</v>
      </c>
      <c r="C267" s="9">
        <f t="shared" si="12"/>
        <v>18.3</v>
      </c>
      <c r="D267" s="10">
        <v>73</v>
      </c>
      <c r="E267" s="9">
        <f t="shared" si="13"/>
        <v>51.1</v>
      </c>
      <c r="F267" s="9">
        <f t="shared" si="14"/>
        <v>69.4</v>
      </c>
    </row>
    <row r="268" s="1" customFormat="1" spans="1:6">
      <c r="A268" s="8" t="str">
        <f>"2020890926"</f>
        <v>2020890926</v>
      </c>
      <c r="B268" s="9">
        <v>75</v>
      </c>
      <c r="C268" s="9">
        <f t="shared" si="12"/>
        <v>22.5</v>
      </c>
      <c r="D268" s="10">
        <v>88</v>
      </c>
      <c r="E268" s="9">
        <f t="shared" si="13"/>
        <v>61.6</v>
      </c>
      <c r="F268" s="9">
        <f t="shared" si="14"/>
        <v>84.1</v>
      </c>
    </row>
    <row r="269" s="1" customFormat="1" spans="1:6">
      <c r="A269" s="8" t="str">
        <f>"2020890927"</f>
        <v>2020890927</v>
      </c>
      <c r="B269" s="9">
        <v>66</v>
      </c>
      <c r="C269" s="9">
        <f t="shared" si="12"/>
        <v>19.8</v>
      </c>
      <c r="D269" s="10">
        <v>92</v>
      </c>
      <c r="E269" s="9">
        <f t="shared" si="13"/>
        <v>64.4</v>
      </c>
      <c r="F269" s="9">
        <f t="shared" si="14"/>
        <v>84.2</v>
      </c>
    </row>
    <row r="270" s="1" customFormat="1" spans="1:6">
      <c r="A270" s="8" t="str">
        <f>"2020890928"</f>
        <v>2020890928</v>
      </c>
      <c r="B270" s="9">
        <v>72</v>
      </c>
      <c r="C270" s="9">
        <f t="shared" si="12"/>
        <v>21.6</v>
      </c>
      <c r="D270" s="10">
        <v>69</v>
      </c>
      <c r="E270" s="9">
        <f t="shared" si="13"/>
        <v>48.3</v>
      </c>
      <c r="F270" s="9">
        <f t="shared" si="14"/>
        <v>69.9</v>
      </c>
    </row>
    <row r="271" s="1" customFormat="1" spans="1:6">
      <c r="A271" s="8" t="str">
        <f>"2020890929"</f>
        <v>2020890929</v>
      </c>
      <c r="B271" s="9">
        <v>58</v>
      </c>
      <c r="C271" s="9">
        <f t="shared" si="12"/>
        <v>17.4</v>
      </c>
      <c r="D271" s="10">
        <v>81</v>
      </c>
      <c r="E271" s="9">
        <f t="shared" si="13"/>
        <v>56.7</v>
      </c>
      <c r="F271" s="9">
        <f t="shared" si="14"/>
        <v>74.1</v>
      </c>
    </row>
    <row r="272" s="1" customFormat="1" spans="1:6">
      <c r="A272" s="8" t="str">
        <f>"2020890930"</f>
        <v>2020890930</v>
      </c>
      <c r="B272" s="9">
        <v>58</v>
      </c>
      <c r="C272" s="9">
        <f t="shared" si="12"/>
        <v>17.4</v>
      </c>
      <c r="D272" s="10">
        <v>79</v>
      </c>
      <c r="E272" s="9">
        <f t="shared" si="13"/>
        <v>55.3</v>
      </c>
      <c r="F272" s="9">
        <f t="shared" si="14"/>
        <v>72.7</v>
      </c>
    </row>
    <row r="273" s="1" customFormat="1" spans="1:6">
      <c r="A273" s="8" t="str">
        <f>"2020891001"</f>
        <v>2020891001</v>
      </c>
      <c r="B273" s="9">
        <v>73</v>
      </c>
      <c r="C273" s="9">
        <f t="shared" si="12"/>
        <v>21.9</v>
      </c>
      <c r="D273" s="10">
        <v>76</v>
      </c>
      <c r="E273" s="9">
        <f t="shared" si="13"/>
        <v>53.2</v>
      </c>
      <c r="F273" s="9">
        <f t="shared" si="14"/>
        <v>75.1</v>
      </c>
    </row>
    <row r="274" s="1" customFormat="1" spans="1:6">
      <c r="A274" s="8" t="str">
        <f>"2020891002"</f>
        <v>2020891002</v>
      </c>
      <c r="B274" s="9">
        <v>0</v>
      </c>
      <c r="C274" s="9">
        <f t="shared" si="12"/>
        <v>0</v>
      </c>
      <c r="D274" s="10">
        <v>0</v>
      </c>
      <c r="E274" s="9">
        <f t="shared" si="13"/>
        <v>0</v>
      </c>
      <c r="F274" s="9">
        <f t="shared" si="14"/>
        <v>0</v>
      </c>
    </row>
    <row r="275" s="1" customFormat="1" spans="1:6">
      <c r="A275" s="8" t="str">
        <f>"2020891003"</f>
        <v>2020891003</v>
      </c>
      <c r="B275" s="9">
        <v>71</v>
      </c>
      <c r="C275" s="9">
        <f t="shared" si="12"/>
        <v>21.3</v>
      </c>
      <c r="D275" s="10">
        <v>85</v>
      </c>
      <c r="E275" s="9">
        <f t="shared" si="13"/>
        <v>59.5</v>
      </c>
      <c r="F275" s="9">
        <f t="shared" si="14"/>
        <v>80.8</v>
      </c>
    </row>
    <row r="276" s="1" customFormat="1" spans="1:6">
      <c r="A276" s="8" t="str">
        <f>"2020891004"</f>
        <v>2020891004</v>
      </c>
      <c r="B276" s="9">
        <v>67</v>
      </c>
      <c r="C276" s="9">
        <f t="shared" si="12"/>
        <v>20.1</v>
      </c>
      <c r="D276" s="10">
        <v>88</v>
      </c>
      <c r="E276" s="9">
        <f t="shared" si="13"/>
        <v>61.6</v>
      </c>
      <c r="F276" s="9">
        <f t="shared" si="14"/>
        <v>81.7</v>
      </c>
    </row>
    <row r="277" s="1" customFormat="1" spans="1:6">
      <c r="A277" s="8" t="str">
        <f>"2020891005"</f>
        <v>2020891005</v>
      </c>
      <c r="B277" s="9">
        <v>62</v>
      </c>
      <c r="C277" s="9">
        <f t="shared" si="12"/>
        <v>18.6</v>
      </c>
      <c r="D277" s="10">
        <v>67</v>
      </c>
      <c r="E277" s="9">
        <f t="shared" si="13"/>
        <v>46.9</v>
      </c>
      <c r="F277" s="9">
        <f t="shared" si="14"/>
        <v>65.5</v>
      </c>
    </row>
    <row r="278" s="1" customFormat="1" spans="1:6">
      <c r="A278" s="8" t="str">
        <f>"2020891006"</f>
        <v>2020891006</v>
      </c>
      <c r="B278" s="9">
        <v>59</v>
      </c>
      <c r="C278" s="9">
        <f t="shared" si="12"/>
        <v>17.7</v>
      </c>
      <c r="D278" s="10">
        <v>73</v>
      </c>
      <c r="E278" s="9">
        <f t="shared" si="13"/>
        <v>51.1</v>
      </c>
      <c r="F278" s="9">
        <f t="shared" si="14"/>
        <v>68.8</v>
      </c>
    </row>
    <row r="279" s="1" customFormat="1" spans="1:6">
      <c r="A279" s="8" t="str">
        <f>"2020891007"</f>
        <v>2020891007</v>
      </c>
      <c r="B279" s="9">
        <v>70</v>
      </c>
      <c r="C279" s="9">
        <f t="shared" si="12"/>
        <v>21</v>
      </c>
      <c r="D279" s="10">
        <v>79</v>
      </c>
      <c r="E279" s="9">
        <f t="shared" si="13"/>
        <v>55.3</v>
      </c>
      <c r="F279" s="9">
        <f t="shared" si="14"/>
        <v>76.3</v>
      </c>
    </row>
    <row r="280" s="1" customFormat="1" spans="1:6">
      <c r="A280" s="8" t="str">
        <f>"2020891008"</f>
        <v>2020891008</v>
      </c>
      <c r="B280" s="9">
        <v>0</v>
      </c>
      <c r="C280" s="9">
        <f t="shared" si="12"/>
        <v>0</v>
      </c>
      <c r="D280" s="10">
        <v>0</v>
      </c>
      <c r="E280" s="9">
        <f t="shared" si="13"/>
        <v>0</v>
      </c>
      <c r="F280" s="9">
        <f t="shared" si="14"/>
        <v>0</v>
      </c>
    </row>
    <row r="281" s="1" customFormat="1" spans="1:6">
      <c r="A281" s="8" t="str">
        <f>"2020891009"</f>
        <v>2020891009</v>
      </c>
      <c r="B281" s="9">
        <v>73</v>
      </c>
      <c r="C281" s="9">
        <f t="shared" si="12"/>
        <v>21.9</v>
      </c>
      <c r="D281" s="10">
        <v>89</v>
      </c>
      <c r="E281" s="9">
        <f t="shared" si="13"/>
        <v>62.3</v>
      </c>
      <c r="F281" s="9">
        <f t="shared" si="14"/>
        <v>84.2</v>
      </c>
    </row>
    <row r="282" s="1" customFormat="1" spans="1:6">
      <c r="A282" s="8" t="str">
        <f>"2020891010"</f>
        <v>2020891010</v>
      </c>
      <c r="B282" s="9">
        <v>0</v>
      </c>
      <c r="C282" s="9">
        <f t="shared" si="12"/>
        <v>0</v>
      </c>
      <c r="D282" s="10">
        <v>0</v>
      </c>
      <c r="E282" s="9">
        <f t="shared" si="13"/>
        <v>0</v>
      </c>
      <c r="F282" s="9">
        <f t="shared" si="14"/>
        <v>0</v>
      </c>
    </row>
    <row r="283" s="1" customFormat="1" spans="1:6">
      <c r="A283" s="8" t="str">
        <f>"2020891011"</f>
        <v>2020891011</v>
      </c>
      <c r="B283" s="9">
        <v>58</v>
      </c>
      <c r="C283" s="9">
        <f t="shared" si="12"/>
        <v>17.4</v>
      </c>
      <c r="D283" s="10">
        <v>53</v>
      </c>
      <c r="E283" s="9">
        <f t="shared" si="13"/>
        <v>37.1</v>
      </c>
      <c r="F283" s="9">
        <f t="shared" si="14"/>
        <v>54.5</v>
      </c>
    </row>
    <row r="284" s="1" customFormat="1" spans="1:6">
      <c r="A284" s="8" t="str">
        <f>"2020891012"</f>
        <v>2020891012</v>
      </c>
      <c r="B284" s="9">
        <v>74</v>
      </c>
      <c r="C284" s="9">
        <f t="shared" si="12"/>
        <v>22.2</v>
      </c>
      <c r="D284" s="10">
        <v>72</v>
      </c>
      <c r="E284" s="9">
        <f t="shared" si="13"/>
        <v>50.4</v>
      </c>
      <c r="F284" s="9">
        <f t="shared" si="14"/>
        <v>72.6</v>
      </c>
    </row>
    <row r="285" s="1" customFormat="1" spans="1:6">
      <c r="A285" s="8" t="str">
        <f>"2020891013"</f>
        <v>2020891013</v>
      </c>
      <c r="B285" s="9">
        <v>72</v>
      </c>
      <c r="C285" s="9">
        <f t="shared" si="12"/>
        <v>21.6</v>
      </c>
      <c r="D285" s="10">
        <v>82</v>
      </c>
      <c r="E285" s="9">
        <f t="shared" si="13"/>
        <v>57.4</v>
      </c>
      <c r="F285" s="9">
        <f t="shared" si="14"/>
        <v>79</v>
      </c>
    </row>
    <row r="286" s="1" customFormat="1" spans="1:6">
      <c r="A286" s="8" t="str">
        <f>"2020891014"</f>
        <v>2020891014</v>
      </c>
      <c r="B286" s="9">
        <v>77</v>
      </c>
      <c r="C286" s="9">
        <f t="shared" si="12"/>
        <v>23.1</v>
      </c>
      <c r="D286" s="10">
        <v>70</v>
      </c>
      <c r="E286" s="9">
        <f t="shared" si="13"/>
        <v>49</v>
      </c>
      <c r="F286" s="9">
        <f t="shared" si="14"/>
        <v>72.1</v>
      </c>
    </row>
    <row r="287" s="1" customFormat="1" spans="1:6">
      <c r="A287" s="8" t="str">
        <f>"2020891015"</f>
        <v>2020891015</v>
      </c>
      <c r="B287" s="9">
        <v>0</v>
      </c>
      <c r="C287" s="9">
        <f t="shared" si="12"/>
        <v>0</v>
      </c>
      <c r="D287" s="10">
        <v>0</v>
      </c>
      <c r="E287" s="9">
        <f t="shared" si="13"/>
        <v>0</v>
      </c>
      <c r="F287" s="9">
        <f t="shared" si="14"/>
        <v>0</v>
      </c>
    </row>
    <row r="288" s="1" customFormat="1" spans="1:6">
      <c r="A288" s="8" t="str">
        <f>"2020891016"</f>
        <v>2020891016</v>
      </c>
      <c r="B288" s="9">
        <v>78</v>
      </c>
      <c r="C288" s="9">
        <f t="shared" si="12"/>
        <v>23.4</v>
      </c>
      <c r="D288" s="10">
        <v>93</v>
      </c>
      <c r="E288" s="9">
        <f t="shared" si="13"/>
        <v>65.1</v>
      </c>
      <c r="F288" s="9">
        <f t="shared" si="14"/>
        <v>88.5</v>
      </c>
    </row>
    <row r="289" s="1" customFormat="1" spans="1:6">
      <c r="A289" s="8" t="str">
        <f>"2020891017"</f>
        <v>2020891017</v>
      </c>
      <c r="B289" s="9">
        <v>66</v>
      </c>
      <c r="C289" s="9">
        <f t="shared" si="12"/>
        <v>19.8</v>
      </c>
      <c r="D289" s="10">
        <v>86</v>
      </c>
      <c r="E289" s="9">
        <f t="shared" si="13"/>
        <v>60.2</v>
      </c>
      <c r="F289" s="9">
        <f t="shared" si="14"/>
        <v>80</v>
      </c>
    </row>
    <row r="290" s="1" customFormat="1" spans="1:6">
      <c r="A290" s="8" t="str">
        <f>"2020891018"</f>
        <v>2020891018</v>
      </c>
      <c r="B290" s="9">
        <v>65</v>
      </c>
      <c r="C290" s="9">
        <f t="shared" si="12"/>
        <v>19.5</v>
      </c>
      <c r="D290" s="10">
        <v>79</v>
      </c>
      <c r="E290" s="9">
        <f t="shared" si="13"/>
        <v>55.3</v>
      </c>
      <c r="F290" s="9">
        <f t="shared" si="14"/>
        <v>74.8</v>
      </c>
    </row>
    <row r="291" s="1" customFormat="1" spans="1:6">
      <c r="A291" s="8" t="str">
        <f>"2020891019"</f>
        <v>2020891019</v>
      </c>
      <c r="B291" s="9">
        <v>76</v>
      </c>
      <c r="C291" s="9">
        <f t="shared" si="12"/>
        <v>22.8</v>
      </c>
      <c r="D291" s="10">
        <v>84</v>
      </c>
      <c r="E291" s="9">
        <f t="shared" si="13"/>
        <v>58.8</v>
      </c>
      <c r="F291" s="9">
        <f t="shared" si="14"/>
        <v>81.6</v>
      </c>
    </row>
    <row r="292" s="1" customFormat="1" spans="1:6">
      <c r="A292" s="8" t="str">
        <f>"2020891020"</f>
        <v>2020891020</v>
      </c>
      <c r="B292" s="9">
        <v>69</v>
      </c>
      <c r="C292" s="9">
        <f t="shared" si="12"/>
        <v>20.7</v>
      </c>
      <c r="D292" s="10">
        <v>94</v>
      </c>
      <c r="E292" s="9">
        <f t="shared" si="13"/>
        <v>65.8</v>
      </c>
      <c r="F292" s="9">
        <f t="shared" si="14"/>
        <v>86.5</v>
      </c>
    </row>
    <row r="293" s="1" customFormat="1" spans="1:6">
      <c r="A293" s="8" t="str">
        <f>"2020891021"</f>
        <v>2020891021</v>
      </c>
      <c r="B293" s="9">
        <v>60</v>
      </c>
      <c r="C293" s="9">
        <f t="shared" si="12"/>
        <v>18</v>
      </c>
      <c r="D293" s="10">
        <v>89</v>
      </c>
      <c r="E293" s="9">
        <f t="shared" si="13"/>
        <v>62.3</v>
      </c>
      <c r="F293" s="9">
        <f t="shared" si="14"/>
        <v>80.3</v>
      </c>
    </row>
    <row r="294" s="1" customFormat="1" spans="1:6">
      <c r="A294" s="8" t="str">
        <f>"2020891022"</f>
        <v>2020891022</v>
      </c>
      <c r="B294" s="9">
        <v>72</v>
      </c>
      <c r="C294" s="9">
        <f t="shared" si="12"/>
        <v>21.6</v>
      </c>
      <c r="D294" s="10">
        <v>81</v>
      </c>
      <c r="E294" s="9">
        <f t="shared" si="13"/>
        <v>56.7</v>
      </c>
      <c r="F294" s="9">
        <f t="shared" si="14"/>
        <v>78.3</v>
      </c>
    </row>
    <row r="295" s="1" customFormat="1" spans="1:6">
      <c r="A295" s="8" t="str">
        <f>"2020891023"</f>
        <v>2020891023</v>
      </c>
      <c r="B295" s="9">
        <v>67</v>
      </c>
      <c r="C295" s="9">
        <f t="shared" si="12"/>
        <v>20.1</v>
      </c>
      <c r="D295" s="10">
        <v>81</v>
      </c>
      <c r="E295" s="9">
        <f t="shared" si="13"/>
        <v>56.7</v>
      </c>
      <c r="F295" s="9">
        <f t="shared" si="14"/>
        <v>76.8</v>
      </c>
    </row>
    <row r="296" s="1" customFormat="1" spans="1:6">
      <c r="A296" s="8" t="str">
        <f>"2020891024"</f>
        <v>2020891024</v>
      </c>
      <c r="B296" s="9">
        <v>75</v>
      </c>
      <c r="C296" s="9">
        <f t="shared" si="12"/>
        <v>22.5</v>
      </c>
      <c r="D296" s="10">
        <v>74</v>
      </c>
      <c r="E296" s="9">
        <f t="shared" si="13"/>
        <v>51.8</v>
      </c>
      <c r="F296" s="9">
        <f t="shared" si="14"/>
        <v>74.3</v>
      </c>
    </row>
    <row r="297" s="1" customFormat="1" spans="1:6">
      <c r="A297" s="8" t="str">
        <f>"2020891025"</f>
        <v>2020891025</v>
      </c>
      <c r="B297" s="9">
        <v>57</v>
      </c>
      <c r="C297" s="9">
        <f t="shared" si="12"/>
        <v>17.1</v>
      </c>
      <c r="D297" s="10">
        <v>90</v>
      </c>
      <c r="E297" s="9">
        <f t="shared" si="13"/>
        <v>63</v>
      </c>
      <c r="F297" s="9">
        <f t="shared" si="14"/>
        <v>80.1</v>
      </c>
    </row>
    <row r="298" s="1" customFormat="1" spans="1:6">
      <c r="A298" s="8" t="str">
        <f>"2020891026"</f>
        <v>2020891026</v>
      </c>
      <c r="B298" s="9">
        <v>68</v>
      </c>
      <c r="C298" s="9">
        <f t="shared" si="12"/>
        <v>20.4</v>
      </c>
      <c r="D298" s="10">
        <v>82</v>
      </c>
      <c r="E298" s="9">
        <f t="shared" si="13"/>
        <v>57.4</v>
      </c>
      <c r="F298" s="9">
        <f t="shared" si="14"/>
        <v>77.8</v>
      </c>
    </row>
    <row r="299" s="1" customFormat="1" spans="1:6">
      <c r="A299" s="8" t="str">
        <f>"2020891027"</f>
        <v>2020891027</v>
      </c>
      <c r="B299" s="9">
        <v>65</v>
      </c>
      <c r="C299" s="9">
        <f t="shared" si="12"/>
        <v>19.5</v>
      </c>
      <c r="D299" s="10">
        <v>62</v>
      </c>
      <c r="E299" s="9">
        <f t="shared" si="13"/>
        <v>43.4</v>
      </c>
      <c r="F299" s="9">
        <f t="shared" si="14"/>
        <v>62.9</v>
      </c>
    </row>
    <row r="300" s="1" customFormat="1" spans="1:6">
      <c r="A300" s="8" t="str">
        <f>"2020891028"</f>
        <v>2020891028</v>
      </c>
      <c r="B300" s="9">
        <v>0</v>
      </c>
      <c r="C300" s="9">
        <f t="shared" si="12"/>
        <v>0</v>
      </c>
      <c r="D300" s="10">
        <v>0</v>
      </c>
      <c r="E300" s="9">
        <f t="shared" si="13"/>
        <v>0</v>
      </c>
      <c r="F300" s="9">
        <f t="shared" si="14"/>
        <v>0</v>
      </c>
    </row>
    <row r="301" s="1" customFormat="1" spans="1:6">
      <c r="A301" s="8" t="str">
        <f>"2020891029"</f>
        <v>2020891029</v>
      </c>
      <c r="B301" s="9">
        <v>70</v>
      </c>
      <c r="C301" s="9">
        <f t="shared" si="12"/>
        <v>21</v>
      </c>
      <c r="D301" s="10">
        <v>76</v>
      </c>
      <c r="E301" s="9">
        <f t="shared" si="13"/>
        <v>53.2</v>
      </c>
      <c r="F301" s="9">
        <f t="shared" si="14"/>
        <v>74.2</v>
      </c>
    </row>
    <row r="302" s="1" customFormat="1" spans="1:6">
      <c r="A302" s="8" t="str">
        <f>"2020891030"</f>
        <v>2020891030</v>
      </c>
      <c r="B302" s="9">
        <v>75</v>
      </c>
      <c r="C302" s="9">
        <f t="shared" si="12"/>
        <v>22.5</v>
      </c>
      <c r="D302" s="10">
        <v>84</v>
      </c>
      <c r="E302" s="9">
        <f t="shared" si="13"/>
        <v>58.8</v>
      </c>
      <c r="F302" s="9">
        <f t="shared" si="14"/>
        <v>81.3</v>
      </c>
    </row>
    <row r="303" s="1" customFormat="1" spans="1:6">
      <c r="A303" s="8" t="str">
        <f>"2020891101"</f>
        <v>2020891101</v>
      </c>
      <c r="B303" s="9">
        <v>54</v>
      </c>
      <c r="C303" s="9">
        <f t="shared" si="12"/>
        <v>16.2</v>
      </c>
      <c r="D303" s="10">
        <v>66</v>
      </c>
      <c r="E303" s="9">
        <f t="shared" si="13"/>
        <v>46.2</v>
      </c>
      <c r="F303" s="9">
        <f t="shared" si="14"/>
        <v>62.4</v>
      </c>
    </row>
    <row r="304" s="1" customFormat="1" spans="1:6">
      <c r="A304" s="8" t="str">
        <f>"2020891102"</f>
        <v>2020891102</v>
      </c>
      <c r="B304" s="9">
        <v>65</v>
      </c>
      <c r="C304" s="9">
        <f t="shared" si="12"/>
        <v>19.5</v>
      </c>
      <c r="D304" s="10">
        <v>68</v>
      </c>
      <c r="E304" s="9">
        <f t="shared" si="13"/>
        <v>47.6</v>
      </c>
      <c r="F304" s="9">
        <f t="shared" si="14"/>
        <v>67.1</v>
      </c>
    </row>
    <row r="305" s="1" customFormat="1" spans="1:6">
      <c r="A305" s="8" t="str">
        <f>"2020891103"</f>
        <v>2020891103</v>
      </c>
      <c r="B305" s="9">
        <v>71</v>
      </c>
      <c r="C305" s="9">
        <f t="shared" si="12"/>
        <v>21.3</v>
      </c>
      <c r="D305" s="10">
        <v>83</v>
      </c>
      <c r="E305" s="9">
        <f t="shared" si="13"/>
        <v>58.1</v>
      </c>
      <c r="F305" s="9">
        <f t="shared" si="14"/>
        <v>79.4</v>
      </c>
    </row>
    <row r="306" s="1" customFormat="1" spans="1:6">
      <c r="A306" s="8" t="str">
        <f>"2020891104"</f>
        <v>2020891104</v>
      </c>
      <c r="B306" s="9">
        <v>60</v>
      </c>
      <c r="C306" s="9">
        <f t="shared" si="12"/>
        <v>18</v>
      </c>
      <c r="D306" s="10">
        <v>92</v>
      </c>
      <c r="E306" s="9">
        <f t="shared" si="13"/>
        <v>64.4</v>
      </c>
      <c r="F306" s="9">
        <f t="shared" si="14"/>
        <v>82.4</v>
      </c>
    </row>
    <row r="307" s="1" customFormat="1" spans="1:6">
      <c r="A307" s="8" t="str">
        <f>"2020891105"</f>
        <v>2020891105</v>
      </c>
      <c r="B307" s="9">
        <v>73</v>
      </c>
      <c r="C307" s="9">
        <f t="shared" si="12"/>
        <v>21.9</v>
      </c>
      <c r="D307" s="10">
        <v>66</v>
      </c>
      <c r="E307" s="9">
        <f t="shared" si="13"/>
        <v>46.2</v>
      </c>
      <c r="F307" s="9">
        <f t="shared" si="14"/>
        <v>68.1</v>
      </c>
    </row>
    <row r="308" s="1" customFormat="1" spans="1:6">
      <c r="A308" s="8" t="str">
        <f>"2020891106"</f>
        <v>2020891106</v>
      </c>
      <c r="B308" s="9">
        <v>55</v>
      </c>
      <c r="C308" s="9">
        <f t="shared" si="12"/>
        <v>16.5</v>
      </c>
      <c r="D308" s="10">
        <v>69</v>
      </c>
      <c r="E308" s="9">
        <f t="shared" si="13"/>
        <v>48.3</v>
      </c>
      <c r="F308" s="9">
        <f t="shared" si="14"/>
        <v>64.8</v>
      </c>
    </row>
    <row r="309" s="1" customFormat="1" spans="1:6">
      <c r="A309" s="8" t="str">
        <f>"2020891107"</f>
        <v>2020891107</v>
      </c>
      <c r="B309" s="9">
        <v>0</v>
      </c>
      <c r="C309" s="9">
        <f t="shared" si="12"/>
        <v>0</v>
      </c>
      <c r="D309" s="10">
        <v>0</v>
      </c>
      <c r="E309" s="9">
        <f t="shared" si="13"/>
        <v>0</v>
      </c>
      <c r="F309" s="9">
        <f t="shared" si="14"/>
        <v>0</v>
      </c>
    </row>
    <row r="310" s="1" customFormat="1" spans="1:6">
      <c r="A310" s="8" t="str">
        <f>"2020891108"</f>
        <v>2020891108</v>
      </c>
      <c r="B310" s="9">
        <v>70</v>
      </c>
      <c r="C310" s="9">
        <f t="shared" si="12"/>
        <v>21</v>
      </c>
      <c r="D310" s="10">
        <v>84</v>
      </c>
      <c r="E310" s="9">
        <f t="shared" si="13"/>
        <v>58.8</v>
      </c>
      <c r="F310" s="9">
        <f t="shared" si="14"/>
        <v>79.8</v>
      </c>
    </row>
    <row r="311" s="1" customFormat="1" spans="1:6">
      <c r="A311" s="8" t="str">
        <f>"2020891109"</f>
        <v>2020891109</v>
      </c>
      <c r="B311" s="9">
        <v>71</v>
      </c>
      <c r="C311" s="9">
        <f t="shared" si="12"/>
        <v>21.3</v>
      </c>
      <c r="D311" s="10">
        <v>79</v>
      </c>
      <c r="E311" s="9">
        <f t="shared" si="13"/>
        <v>55.3</v>
      </c>
      <c r="F311" s="9">
        <f t="shared" si="14"/>
        <v>76.6</v>
      </c>
    </row>
    <row r="312" s="1" customFormat="1" spans="1:6">
      <c r="A312" s="8" t="str">
        <f>"2020891110"</f>
        <v>2020891110</v>
      </c>
      <c r="B312" s="9">
        <v>0</v>
      </c>
      <c r="C312" s="9">
        <f t="shared" si="12"/>
        <v>0</v>
      </c>
      <c r="D312" s="10">
        <v>0</v>
      </c>
      <c r="E312" s="9">
        <f t="shared" si="13"/>
        <v>0</v>
      </c>
      <c r="F312" s="9">
        <f t="shared" si="14"/>
        <v>0</v>
      </c>
    </row>
    <row r="313" s="1" customFormat="1" spans="1:6">
      <c r="A313" s="8" t="str">
        <f>"2020891111"</f>
        <v>2020891111</v>
      </c>
      <c r="B313" s="9">
        <v>59</v>
      </c>
      <c r="C313" s="9">
        <f t="shared" si="12"/>
        <v>17.7</v>
      </c>
      <c r="D313" s="10">
        <v>71</v>
      </c>
      <c r="E313" s="9">
        <f t="shared" si="13"/>
        <v>49.7</v>
      </c>
      <c r="F313" s="9">
        <f t="shared" si="14"/>
        <v>67.4</v>
      </c>
    </row>
    <row r="314" s="1" customFormat="1" spans="1:6">
      <c r="A314" s="8" t="str">
        <f>"2020891112"</f>
        <v>2020891112</v>
      </c>
      <c r="B314" s="9">
        <v>0</v>
      </c>
      <c r="C314" s="9">
        <f t="shared" si="12"/>
        <v>0</v>
      </c>
      <c r="D314" s="10">
        <v>0</v>
      </c>
      <c r="E314" s="9">
        <f t="shared" si="13"/>
        <v>0</v>
      </c>
      <c r="F314" s="9">
        <f t="shared" si="14"/>
        <v>0</v>
      </c>
    </row>
    <row r="315" s="1" customFormat="1" spans="1:6">
      <c r="A315" s="8" t="str">
        <f>"2020891113"</f>
        <v>2020891113</v>
      </c>
      <c r="B315" s="9">
        <v>0</v>
      </c>
      <c r="C315" s="9">
        <f t="shared" si="12"/>
        <v>0</v>
      </c>
      <c r="D315" s="10">
        <v>0</v>
      </c>
      <c r="E315" s="9">
        <f t="shared" si="13"/>
        <v>0</v>
      </c>
      <c r="F315" s="9">
        <f t="shared" si="14"/>
        <v>0</v>
      </c>
    </row>
    <row r="316" s="1" customFormat="1" spans="1:6">
      <c r="A316" s="8" t="str">
        <f>"2020891114"</f>
        <v>2020891114</v>
      </c>
      <c r="B316" s="9">
        <v>63</v>
      </c>
      <c r="C316" s="9">
        <f t="shared" si="12"/>
        <v>18.9</v>
      </c>
      <c r="D316" s="10">
        <v>84</v>
      </c>
      <c r="E316" s="9">
        <f t="shared" si="13"/>
        <v>58.8</v>
      </c>
      <c r="F316" s="9">
        <f t="shared" si="14"/>
        <v>77.7</v>
      </c>
    </row>
    <row r="317" s="1" customFormat="1" spans="1:6">
      <c r="A317" s="8" t="str">
        <f>"2020891115"</f>
        <v>2020891115</v>
      </c>
      <c r="B317" s="9">
        <v>63</v>
      </c>
      <c r="C317" s="9">
        <f t="shared" si="12"/>
        <v>18.9</v>
      </c>
      <c r="D317" s="10">
        <v>81</v>
      </c>
      <c r="E317" s="9">
        <f t="shared" si="13"/>
        <v>56.7</v>
      </c>
      <c r="F317" s="9">
        <f t="shared" si="14"/>
        <v>75.6</v>
      </c>
    </row>
    <row r="318" s="1" customFormat="1" spans="1:6">
      <c r="A318" s="8" t="str">
        <f>"2020891116"</f>
        <v>2020891116</v>
      </c>
      <c r="B318" s="9">
        <v>64</v>
      </c>
      <c r="C318" s="9">
        <f t="shared" si="12"/>
        <v>19.2</v>
      </c>
      <c r="D318" s="10">
        <v>86</v>
      </c>
      <c r="E318" s="9">
        <f t="shared" si="13"/>
        <v>60.2</v>
      </c>
      <c r="F318" s="9">
        <f t="shared" si="14"/>
        <v>79.4</v>
      </c>
    </row>
    <row r="319" s="1" customFormat="1" spans="1:6">
      <c r="A319" s="8" t="str">
        <f>"2020891117"</f>
        <v>2020891117</v>
      </c>
      <c r="B319" s="9">
        <v>71</v>
      </c>
      <c r="C319" s="9">
        <f t="shared" si="12"/>
        <v>21.3</v>
      </c>
      <c r="D319" s="10">
        <v>84</v>
      </c>
      <c r="E319" s="9">
        <f t="shared" si="13"/>
        <v>58.8</v>
      </c>
      <c r="F319" s="9">
        <f t="shared" si="14"/>
        <v>80.1</v>
      </c>
    </row>
    <row r="320" s="1" customFormat="1" spans="1:6">
      <c r="A320" s="8" t="str">
        <f>"2020891118"</f>
        <v>2020891118</v>
      </c>
      <c r="B320" s="9">
        <v>75</v>
      </c>
      <c r="C320" s="9">
        <f t="shared" si="12"/>
        <v>22.5</v>
      </c>
      <c r="D320" s="10">
        <v>81</v>
      </c>
      <c r="E320" s="9">
        <f t="shared" si="13"/>
        <v>56.7</v>
      </c>
      <c r="F320" s="9">
        <f t="shared" si="14"/>
        <v>79.2</v>
      </c>
    </row>
    <row r="321" s="1" customFormat="1" spans="1:6">
      <c r="A321" s="8" t="str">
        <f>"2020891119"</f>
        <v>2020891119</v>
      </c>
      <c r="B321" s="9">
        <v>55</v>
      </c>
      <c r="C321" s="9">
        <f t="shared" si="12"/>
        <v>16.5</v>
      </c>
      <c r="D321" s="10">
        <v>53</v>
      </c>
      <c r="E321" s="9">
        <f t="shared" si="13"/>
        <v>37.1</v>
      </c>
      <c r="F321" s="9">
        <f t="shared" si="14"/>
        <v>53.6</v>
      </c>
    </row>
    <row r="322" s="1" customFormat="1" spans="1:6">
      <c r="A322" s="8" t="str">
        <f>"2020891120"</f>
        <v>2020891120</v>
      </c>
      <c r="B322" s="9">
        <v>70</v>
      </c>
      <c r="C322" s="9">
        <f t="shared" si="12"/>
        <v>21</v>
      </c>
      <c r="D322" s="10">
        <v>72</v>
      </c>
      <c r="E322" s="9">
        <f t="shared" si="13"/>
        <v>50.4</v>
      </c>
      <c r="F322" s="9">
        <f t="shared" si="14"/>
        <v>71.4</v>
      </c>
    </row>
    <row r="323" s="1" customFormat="1" spans="1:6">
      <c r="A323" s="8" t="str">
        <f>"2020891121"</f>
        <v>2020891121</v>
      </c>
      <c r="B323" s="9">
        <v>66</v>
      </c>
      <c r="C323" s="9">
        <f t="shared" ref="C323:C386" si="15">B323*0.3</f>
        <v>19.8</v>
      </c>
      <c r="D323" s="10">
        <v>90</v>
      </c>
      <c r="E323" s="9">
        <f t="shared" ref="E323:E386" si="16">D323*0.7</f>
        <v>63</v>
      </c>
      <c r="F323" s="9">
        <f t="shared" ref="F323:F386" si="17">C323+E323</f>
        <v>82.8</v>
      </c>
    </row>
    <row r="324" s="1" customFormat="1" spans="1:6">
      <c r="A324" s="8" t="str">
        <f>"2020891122"</f>
        <v>2020891122</v>
      </c>
      <c r="B324" s="9">
        <v>63</v>
      </c>
      <c r="C324" s="9">
        <f t="shared" si="15"/>
        <v>18.9</v>
      </c>
      <c r="D324" s="10">
        <v>83</v>
      </c>
      <c r="E324" s="9">
        <f t="shared" si="16"/>
        <v>58.1</v>
      </c>
      <c r="F324" s="9">
        <f t="shared" si="17"/>
        <v>77</v>
      </c>
    </row>
    <row r="325" s="1" customFormat="1" spans="1:6">
      <c r="A325" s="8" t="str">
        <f>"2020891123"</f>
        <v>2020891123</v>
      </c>
      <c r="B325" s="9">
        <v>72</v>
      </c>
      <c r="C325" s="9">
        <f t="shared" si="15"/>
        <v>21.6</v>
      </c>
      <c r="D325" s="10">
        <v>68</v>
      </c>
      <c r="E325" s="9">
        <f t="shared" si="16"/>
        <v>47.6</v>
      </c>
      <c r="F325" s="9">
        <f t="shared" si="17"/>
        <v>69.2</v>
      </c>
    </row>
    <row r="326" s="1" customFormat="1" spans="1:6">
      <c r="A326" s="8" t="str">
        <f>"2020891124"</f>
        <v>2020891124</v>
      </c>
      <c r="B326" s="9">
        <v>64</v>
      </c>
      <c r="C326" s="9">
        <f t="shared" si="15"/>
        <v>19.2</v>
      </c>
      <c r="D326" s="10">
        <v>62</v>
      </c>
      <c r="E326" s="9">
        <f t="shared" si="16"/>
        <v>43.4</v>
      </c>
      <c r="F326" s="9">
        <f t="shared" si="17"/>
        <v>62.6</v>
      </c>
    </row>
    <row r="327" s="1" customFormat="1" spans="1:6">
      <c r="A327" s="8" t="str">
        <f>"2020891125"</f>
        <v>2020891125</v>
      </c>
      <c r="B327" s="9">
        <v>49</v>
      </c>
      <c r="C327" s="9">
        <f t="shared" si="15"/>
        <v>14.7</v>
      </c>
      <c r="D327" s="10">
        <v>66</v>
      </c>
      <c r="E327" s="9">
        <f t="shared" si="16"/>
        <v>46.2</v>
      </c>
      <c r="F327" s="9">
        <f t="shared" si="17"/>
        <v>60.9</v>
      </c>
    </row>
    <row r="328" s="1" customFormat="1" spans="1:6">
      <c r="A328" s="8" t="str">
        <f>"2020891126"</f>
        <v>2020891126</v>
      </c>
      <c r="B328" s="9">
        <v>0</v>
      </c>
      <c r="C328" s="9">
        <f t="shared" si="15"/>
        <v>0</v>
      </c>
      <c r="D328" s="10">
        <v>0</v>
      </c>
      <c r="E328" s="9">
        <f t="shared" si="16"/>
        <v>0</v>
      </c>
      <c r="F328" s="9">
        <f t="shared" si="17"/>
        <v>0</v>
      </c>
    </row>
    <row r="329" s="1" customFormat="1" spans="1:6">
      <c r="A329" s="8" t="str">
        <f>"2020891127"</f>
        <v>2020891127</v>
      </c>
      <c r="B329" s="9">
        <v>80</v>
      </c>
      <c r="C329" s="9">
        <f t="shared" si="15"/>
        <v>24</v>
      </c>
      <c r="D329" s="10">
        <v>72</v>
      </c>
      <c r="E329" s="9">
        <f t="shared" si="16"/>
        <v>50.4</v>
      </c>
      <c r="F329" s="9">
        <f t="shared" si="17"/>
        <v>74.4</v>
      </c>
    </row>
    <row r="330" s="1" customFormat="1" spans="1:6">
      <c r="A330" s="8" t="str">
        <f>"2020891128"</f>
        <v>2020891128</v>
      </c>
      <c r="B330" s="9">
        <v>48</v>
      </c>
      <c r="C330" s="9">
        <f t="shared" si="15"/>
        <v>14.4</v>
      </c>
      <c r="D330" s="10">
        <v>79</v>
      </c>
      <c r="E330" s="9">
        <f t="shared" si="16"/>
        <v>55.3</v>
      </c>
      <c r="F330" s="9">
        <f t="shared" si="17"/>
        <v>69.7</v>
      </c>
    </row>
    <row r="331" s="1" customFormat="1" spans="1:6">
      <c r="A331" s="8" t="str">
        <f>"2020891129"</f>
        <v>2020891129</v>
      </c>
      <c r="B331" s="9">
        <v>75</v>
      </c>
      <c r="C331" s="9">
        <f t="shared" si="15"/>
        <v>22.5</v>
      </c>
      <c r="D331" s="10">
        <v>81</v>
      </c>
      <c r="E331" s="9">
        <f t="shared" si="16"/>
        <v>56.7</v>
      </c>
      <c r="F331" s="9">
        <f t="shared" si="17"/>
        <v>79.2</v>
      </c>
    </row>
    <row r="332" s="1" customFormat="1" spans="1:6">
      <c r="A332" s="8" t="str">
        <f>"2020891130"</f>
        <v>2020891130</v>
      </c>
      <c r="B332" s="9">
        <v>62</v>
      </c>
      <c r="C332" s="9">
        <f t="shared" si="15"/>
        <v>18.6</v>
      </c>
      <c r="D332" s="10">
        <v>73</v>
      </c>
      <c r="E332" s="9">
        <f t="shared" si="16"/>
        <v>51.1</v>
      </c>
      <c r="F332" s="9">
        <f t="shared" si="17"/>
        <v>69.7</v>
      </c>
    </row>
    <row r="333" s="1" customFormat="1" spans="1:6">
      <c r="A333" s="8" t="str">
        <f>"2020891201"</f>
        <v>2020891201</v>
      </c>
      <c r="B333" s="9">
        <v>61</v>
      </c>
      <c r="C333" s="9">
        <f t="shared" si="15"/>
        <v>18.3</v>
      </c>
      <c r="D333" s="10">
        <v>86</v>
      </c>
      <c r="E333" s="9">
        <f t="shared" si="16"/>
        <v>60.2</v>
      </c>
      <c r="F333" s="9">
        <f t="shared" si="17"/>
        <v>78.5</v>
      </c>
    </row>
    <row r="334" s="1" customFormat="1" spans="1:6">
      <c r="A334" s="8" t="str">
        <f>"2020891202"</f>
        <v>2020891202</v>
      </c>
      <c r="B334" s="9">
        <v>74</v>
      </c>
      <c r="C334" s="9">
        <f t="shared" si="15"/>
        <v>22.2</v>
      </c>
      <c r="D334" s="10">
        <v>79</v>
      </c>
      <c r="E334" s="9">
        <f t="shared" si="16"/>
        <v>55.3</v>
      </c>
      <c r="F334" s="9">
        <f t="shared" si="17"/>
        <v>77.5</v>
      </c>
    </row>
    <row r="335" s="1" customFormat="1" spans="1:6">
      <c r="A335" s="8" t="str">
        <f>"2020891203"</f>
        <v>2020891203</v>
      </c>
      <c r="B335" s="9">
        <v>72</v>
      </c>
      <c r="C335" s="9">
        <f t="shared" si="15"/>
        <v>21.6</v>
      </c>
      <c r="D335" s="10">
        <v>82</v>
      </c>
      <c r="E335" s="9">
        <f t="shared" si="16"/>
        <v>57.4</v>
      </c>
      <c r="F335" s="9">
        <f t="shared" si="17"/>
        <v>79</v>
      </c>
    </row>
    <row r="336" s="1" customFormat="1" spans="1:6">
      <c r="A336" s="8" t="str">
        <f>"2020891204"</f>
        <v>2020891204</v>
      </c>
      <c r="B336" s="9">
        <v>79</v>
      </c>
      <c r="C336" s="9">
        <f t="shared" si="15"/>
        <v>23.7</v>
      </c>
      <c r="D336" s="10">
        <v>73</v>
      </c>
      <c r="E336" s="9">
        <f t="shared" si="16"/>
        <v>51.1</v>
      </c>
      <c r="F336" s="9">
        <f t="shared" si="17"/>
        <v>74.8</v>
      </c>
    </row>
    <row r="337" s="1" customFormat="1" spans="1:6">
      <c r="A337" s="8" t="str">
        <f>"2020891205"</f>
        <v>2020891205</v>
      </c>
      <c r="B337" s="9">
        <v>67</v>
      </c>
      <c r="C337" s="9">
        <f t="shared" si="15"/>
        <v>20.1</v>
      </c>
      <c r="D337" s="10">
        <v>69</v>
      </c>
      <c r="E337" s="9">
        <f t="shared" si="16"/>
        <v>48.3</v>
      </c>
      <c r="F337" s="9">
        <f t="shared" si="17"/>
        <v>68.4</v>
      </c>
    </row>
    <row r="338" s="1" customFormat="1" spans="1:6">
      <c r="A338" s="8" t="str">
        <f>"2020891206"</f>
        <v>2020891206</v>
      </c>
      <c r="B338" s="9">
        <v>0</v>
      </c>
      <c r="C338" s="9">
        <f t="shared" si="15"/>
        <v>0</v>
      </c>
      <c r="D338" s="10">
        <v>0</v>
      </c>
      <c r="E338" s="9">
        <f t="shared" si="16"/>
        <v>0</v>
      </c>
      <c r="F338" s="9">
        <f t="shared" si="17"/>
        <v>0</v>
      </c>
    </row>
    <row r="339" s="1" customFormat="1" spans="1:6">
      <c r="A339" s="8" t="str">
        <f>"2020891207"</f>
        <v>2020891207</v>
      </c>
      <c r="B339" s="9">
        <v>64</v>
      </c>
      <c r="C339" s="9">
        <f t="shared" si="15"/>
        <v>19.2</v>
      </c>
      <c r="D339" s="10">
        <v>56</v>
      </c>
      <c r="E339" s="9">
        <f t="shared" si="16"/>
        <v>39.2</v>
      </c>
      <c r="F339" s="9">
        <f t="shared" si="17"/>
        <v>58.4</v>
      </c>
    </row>
    <row r="340" s="1" customFormat="1" spans="1:6">
      <c r="A340" s="8" t="str">
        <f>"2020891208"</f>
        <v>2020891208</v>
      </c>
      <c r="B340" s="9">
        <v>0</v>
      </c>
      <c r="C340" s="9">
        <f t="shared" si="15"/>
        <v>0</v>
      </c>
      <c r="D340" s="10">
        <v>0</v>
      </c>
      <c r="E340" s="9">
        <f t="shared" si="16"/>
        <v>0</v>
      </c>
      <c r="F340" s="9">
        <f t="shared" si="17"/>
        <v>0</v>
      </c>
    </row>
    <row r="341" s="1" customFormat="1" spans="1:6">
      <c r="A341" s="8" t="str">
        <f>"2020891209"</f>
        <v>2020891209</v>
      </c>
      <c r="B341" s="9">
        <v>60</v>
      </c>
      <c r="C341" s="9">
        <f t="shared" si="15"/>
        <v>18</v>
      </c>
      <c r="D341" s="10">
        <v>74</v>
      </c>
      <c r="E341" s="9">
        <f t="shared" si="16"/>
        <v>51.8</v>
      </c>
      <c r="F341" s="9">
        <f t="shared" si="17"/>
        <v>69.8</v>
      </c>
    </row>
    <row r="342" s="1" customFormat="1" spans="1:6">
      <c r="A342" s="8" t="str">
        <f>"2020891210"</f>
        <v>2020891210</v>
      </c>
      <c r="B342" s="9">
        <v>0</v>
      </c>
      <c r="C342" s="9">
        <f t="shared" si="15"/>
        <v>0</v>
      </c>
      <c r="D342" s="10">
        <v>0</v>
      </c>
      <c r="E342" s="9">
        <f t="shared" si="16"/>
        <v>0</v>
      </c>
      <c r="F342" s="9">
        <f t="shared" si="17"/>
        <v>0</v>
      </c>
    </row>
    <row r="343" s="1" customFormat="1" spans="1:6">
      <c r="A343" s="8" t="str">
        <f>"2020891211"</f>
        <v>2020891211</v>
      </c>
      <c r="B343" s="9">
        <v>76</v>
      </c>
      <c r="C343" s="9">
        <f t="shared" si="15"/>
        <v>22.8</v>
      </c>
      <c r="D343" s="10">
        <v>86</v>
      </c>
      <c r="E343" s="9">
        <f t="shared" si="16"/>
        <v>60.2</v>
      </c>
      <c r="F343" s="9">
        <f t="shared" si="17"/>
        <v>83</v>
      </c>
    </row>
    <row r="344" s="1" customFormat="1" spans="1:6">
      <c r="A344" s="8" t="str">
        <f>"2020891212"</f>
        <v>2020891212</v>
      </c>
      <c r="B344" s="9">
        <v>62</v>
      </c>
      <c r="C344" s="9">
        <f t="shared" si="15"/>
        <v>18.6</v>
      </c>
      <c r="D344" s="10">
        <v>85</v>
      </c>
      <c r="E344" s="9">
        <f t="shared" si="16"/>
        <v>59.5</v>
      </c>
      <c r="F344" s="9">
        <f t="shared" si="17"/>
        <v>78.1</v>
      </c>
    </row>
    <row r="345" s="1" customFormat="1" spans="1:6">
      <c r="A345" s="8" t="str">
        <f>"2020891213"</f>
        <v>2020891213</v>
      </c>
      <c r="B345" s="9">
        <v>60</v>
      </c>
      <c r="C345" s="9">
        <f t="shared" si="15"/>
        <v>18</v>
      </c>
      <c r="D345" s="10">
        <v>78</v>
      </c>
      <c r="E345" s="9">
        <f t="shared" si="16"/>
        <v>54.6</v>
      </c>
      <c r="F345" s="9">
        <f t="shared" si="17"/>
        <v>72.6</v>
      </c>
    </row>
    <row r="346" s="1" customFormat="1" spans="1:6">
      <c r="A346" s="8" t="str">
        <f>"2020891214"</f>
        <v>2020891214</v>
      </c>
      <c r="B346" s="9">
        <v>58</v>
      </c>
      <c r="C346" s="9">
        <f t="shared" si="15"/>
        <v>17.4</v>
      </c>
      <c r="D346" s="10">
        <v>71</v>
      </c>
      <c r="E346" s="9">
        <f t="shared" si="16"/>
        <v>49.7</v>
      </c>
      <c r="F346" s="9">
        <f t="shared" si="17"/>
        <v>67.1</v>
      </c>
    </row>
    <row r="347" s="1" customFormat="1" spans="1:6">
      <c r="A347" s="8" t="str">
        <f>"2020891215"</f>
        <v>2020891215</v>
      </c>
      <c r="B347" s="9">
        <v>75</v>
      </c>
      <c r="C347" s="9">
        <f t="shared" si="15"/>
        <v>22.5</v>
      </c>
      <c r="D347" s="10">
        <v>76</v>
      </c>
      <c r="E347" s="9">
        <f t="shared" si="16"/>
        <v>53.2</v>
      </c>
      <c r="F347" s="9">
        <f t="shared" si="17"/>
        <v>75.7</v>
      </c>
    </row>
    <row r="348" s="1" customFormat="1" spans="1:6">
      <c r="A348" s="8" t="str">
        <f>"2020891216"</f>
        <v>2020891216</v>
      </c>
      <c r="B348" s="9">
        <v>73</v>
      </c>
      <c r="C348" s="9">
        <f t="shared" si="15"/>
        <v>21.9</v>
      </c>
      <c r="D348" s="10">
        <v>75</v>
      </c>
      <c r="E348" s="9">
        <f t="shared" si="16"/>
        <v>52.5</v>
      </c>
      <c r="F348" s="9">
        <f t="shared" si="17"/>
        <v>74.4</v>
      </c>
    </row>
    <row r="349" s="1" customFormat="1" spans="1:6">
      <c r="A349" s="8" t="str">
        <f>"2020891217"</f>
        <v>2020891217</v>
      </c>
      <c r="B349" s="9">
        <v>65</v>
      </c>
      <c r="C349" s="9">
        <f t="shared" si="15"/>
        <v>19.5</v>
      </c>
      <c r="D349" s="10">
        <v>64</v>
      </c>
      <c r="E349" s="9">
        <f t="shared" si="16"/>
        <v>44.8</v>
      </c>
      <c r="F349" s="9">
        <f t="shared" si="17"/>
        <v>64.3</v>
      </c>
    </row>
    <row r="350" s="1" customFormat="1" spans="1:6">
      <c r="A350" s="8" t="str">
        <f>"2020891218"</f>
        <v>2020891218</v>
      </c>
      <c r="B350" s="9">
        <v>48</v>
      </c>
      <c r="C350" s="9">
        <f t="shared" si="15"/>
        <v>14.4</v>
      </c>
      <c r="D350" s="10">
        <v>73</v>
      </c>
      <c r="E350" s="9">
        <f t="shared" si="16"/>
        <v>51.1</v>
      </c>
      <c r="F350" s="9">
        <f t="shared" si="17"/>
        <v>65.5</v>
      </c>
    </row>
    <row r="351" s="1" customFormat="1" spans="1:6">
      <c r="A351" s="8" t="str">
        <f>"2020891219"</f>
        <v>2020891219</v>
      </c>
      <c r="B351" s="9">
        <v>0</v>
      </c>
      <c r="C351" s="9">
        <f t="shared" si="15"/>
        <v>0</v>
      </c>
      <c r="D351" s="10">
        <v>0</v>
      </c>
      <c r="E351" s="9">
        <f t="shared" si="16"/>
        <v>0</v>
      </c>
      <c r="F351" s="9">
        <f t="shared" si="17"/>
        <v>0</v>
      </c>
    </row>
    <row r="352" s="1" customFormat="1" spans="1:6">
      <c r="A352" s="8" t="str">
        <f>"2020891220"</f>
        <v>2020891220</v>
      </c>
      <c r="B352" s="9">
        <v>63</v>
      </c>
      <c r="C352" s="9">
        <f t="shared" si="15"/>
        <v>18.9</v>
      </c>
      <c r="D352" s="10">
        <v>86</v>
      </c>
      <c r="E352" s="9">
        <f t="shared" si="16"/>
        <v>60.2</v>
      </c>
      <c r="F352" s="9">
        <f t="shared" si="17"/>
        <v>79.1</v>
      </c>
    </row>
    <row r="353" s="1" customFormat="1" spans="1:6">
      <c r="A353" s="8" t="str">
        <f>"2020891221"</f>
        <v>2020891221</v>
      </c>
      <c r="B353" s="9">
        <v>54</v>
      </c>
      <c r="C353" s="9">
        <f t="shared" si="15"/>
        <v>16.2</v>
      </c>
      <c r="D353" s="10">
        <v>84</v>
      </c>
      <c r="E353" s="9">
        <f t="shared" si="16"/>
        <v>58.8</v>
      </c>
      <c r="F353" s="9">
        <f t="shared" si="17"/>
        <v>75</v>
      </c>
    </row>
    <row r="354" s="1" customFormat="1" spans="1:6">
      <c r="A354" s="8" t="str">
        <f>"2020891222"</f>
        <v>2020891222</v>
      </c>
      <c r="B354" s="9">
        <v>68</v>
      </c>
      <c r="C354" s="9">
        <f t="shared" si="15"/>
        <v>20.4</v>
      </c>
      <c r="D354" s="10">
        <v>93</v>
      </c>
      <c r="E354" s="9">
        <f t="shared" si="16"/>
        <v>65.1</v>
      </c>
      <c r="F354" s="9">
        <f t="shared" si="17"/>
        <v>85.5</v>
      </c>
    </row>
    <row r="355" s="1" customFormat="1" spans="1:6">
      <c r="A355" s="8" t="str">
        <f>"2020891223"</f>
        <v>2020891223</v>
      </c>
      <c r="B355" s="9">
        <v>53</v>
      </c>
      <c r="C355" s="9">
        <f t="shared" si="15"/>
        <v>15.9</v>
      </c>
      <c r="D355" s="10">
        <v>80</v>
      </c>
      <c r="E355" s="9">
        <f t="shared" si="16"/>
        <v>56</v>
      </c>
      <c r="F355" s="9">
        <f t="shared" si="17"/>
        <v>71.9</v>
      </c>
    </row>
    <row r="356" s="1" customFormat="1" spans="1:6">
      <c r="A356" s="8" t="str">
        <f>"2020891224"</f>
        <v>2020891224</v>
      </c>
      <c r="B356" s="9">
        <v>77</v>
      </c>
      <c r="C356" s="9">
        <f t="shared" si="15"/>
        <v>23.1</v>
      </c>
      <c r="D356" s="10">
        <v>90</v>
      </c>
      <c r="E356" s="9">
        <f t="shared" si="16"/>
        <v>63</v>
      </c>
      <c r="F356" s="9">
        <f t="shared" si="17"/>
        <v>86.1</v>
      </c>
    </row>
    <row r="357" s="1" customFormat="1" spans="1:6">
      <c r="A357" s="8" t="str">
        <f>"2020891225"</f>
        <v>2020891225</v>
      </c>
      <c r="B357" s="9">
        <v>67</v>
      </c>
      <c r="C357" s="9">
        <f t="shared" si="15"/>
        <v>20.1</v>
      </c>
      <c r="D357" s="10">
        <v>90</v>
      </c>
      <c r="E357" s="9">
        <f t="shared" si="16"/>
        <v>63</v>
      </c>
      <c r="F357" s="9">
        <f t="shared" si="17"/>
        <v>83.1</v>
      </c>
    </row>
    <row r="358" s="1" customFormat="1" spans="1:6">
      <c r="A358" s="8" t="str">
        <f>"2020891226"</f>
        <v>2020891226</v>
      </c>
      <c r="B358" s="9">
        <v>0</v>
      </c>
      <c r="C358" s="9">
        <f t="shared" si="15"/>
        <v>0</v>
      </c>
      <c r="D358" s="10">
        <v>0</v>
      </c>
      <c r="E358" s="9">
        <f t="shared" si="16"/>
        <v>0</v>
      </c>
      <c r="F358" s="9">
        <f t="shared" si="17"/>
        <v>0</v>
      </c>
    </row>
    <row r="359" s="1" customFormat="1" spans="1:6">
      <c r="A359" s="8" t="str">
        <f>"2020891227"</f>
        <v>2020891227</v>
      </c>
      <c r="B359" s="9">
        <v>70</v>
      </c>
      <c r="C359" s="9">
        <f t="shared" si="15"/>
        <v>21</v>
      </c>
      <c r="D359" s="10">
        <v>79</v>
      </c>
      <c r="E359" s="9">
        <f t="shared" si="16"/>
        <v>55.3</v>
      </c>
      <c r="F359" s="9">
        <f t="shared" si="17"/>
        <v>76.3</v>
      </c>
    </row>
    <row r="360" s="1" customFormat="1" spans="1:6">
      <c r="A360" s="8" t="str">
        <f>"2020891228"</f>
        <v>2020891228</v>
      </c>
      <c r="B360" s="9">
        <v>85</v>
      </c>
      <c r="C360" s="9">
        <f t="shared" si="15"/>
        <v>25.5</v>
      </c>
      <c r="D360" s="10">
        <v>84</v>
      </c>
      <c r="E360" s="9">
        <f t="shared" si="16"/>
        <v>58.8</v>
      </c>
      <c r="F360" s="9">
        <f t="shared" si="17"/>
        <v>84.3</v>
      </c>
    </row>
    <row r="361" s="1" customFormat="1" spans="1:6">
      <c r="A361" s="8" t="str">
        <f>"2020891229"</f>
        <v>2020891229</v>
      </c>
      <c r="B361" s="9">
        <v>64</v>
      </c>
      <c r="C361" s="9">
        <f t="shared" si="15"/>
        <v>19.2</v>
      </c>
      <c r="D361" s="10">
        <v>88</v>
      </c>
      <c r="E361" s="9">
        <f t="shared" si="16"/>
        <v>61.6</v>
      </c>
      <c r="F361" s="9">
        <f t="shared" si="17"/>
        <v>80.8</v>
      </c>
    </row>
    <row r="362" s="1" customFormat="1" spans="1:6">
      <c r="A362" s="8" t="str">
        <f>"2020891230"</f>
        <v>2020891230</v>
      </c>
      <c r="B362" s="9">
        <v>54</v>
      </c>
      <c r="C362" s="9">
        <f t="shared" si="15"/>
        <v>16.2</v>
      </c>
      <c r="D362" s="10">
        <v>75</v>
      </c>
      <c r="E362" s="9">
        <f t="shared" si="16"/>
        <v>52.5</v>
      </c>
      <c r="F362" s="9">
        <f t="shared" si="17"/>
        <v>68.7</v>
      </c>
    </row>
    <row r="363" s="1" customFormat="1" spans="1:6">
      <c r="A363" s="8" t="str">
        <f>"2020891301"</f>
        <v>2020891301</v>
      </c>
      <c r="B363" s="9">
        <v>0</v>
      </c>
      <c r="C363" s="9">
        <f t="shared" si="15"/>
        <v>0</v>
      </c>
      <c r="D363" s="10">
        <v>0</v>
      </c>
      <c r="E363" s="9">
        <f t="shared" si="16"/>
        <v>0</v>
      </c>
      <c r="F363" s="9">
        <f t="shared" si="17"/>
        <v>0</v>
      </c>
    </row>
    <row r="364" s="1" customFormat="1" spans="1:6">
      <c r="A364" s="8" t="str">
        <f>"2020891302"</f>
        <v>2020891302</v>
      </c>
      <c r="B364" s="9">
        <v>63</v>
      </c>
      <c r="C364" s="9">
        <f t="shared" si="15"/>
        <v>18.9</v>
      </c>
      <c r="D364" s="10">
        <v>75</v>
      </c>
      <c r="E364" s="9">
        <f t="shared" si="16"/>
        <v>52.5</v>
      </c>
      <c r="F364" s="9">
        <f t="shared" si="17"/>
        <v>71.4</v>
      </c>
    </row>
    <row r="365" s="1" customFormat="1" spans="1:6">
      <c r="A365" s="8" t="str">
        <f>"2020891303"</f>
        <v>2020891303</v>
      </c>
      <c r="B365" s="9">
        <v>76</v>
      </c>
      <c r="C365" s="9">
        <f t="shared" si="15"/>
        <v>22.8</v>
      </c>
      <c r="D365" s="10">
        <v>77</v>
      </c>
      <c r="E365" s="9">
        <f t="shared" si="16"/>
        <v>53.9</v>
      </c>
      <c r="F365" s="9">
        <f t="shared" si="17"/>
        <v>76.7</v>
      </c>
    </row>
    <row r="366" s="1" customFormat="1" spans="1:6">
      <c r="A366" s="8" t="str">
        <f>"2020891304"</f>
        <v>2020891304</v>
      </c>
      <c r="B366" s="9">
        <v>66</v>
      </c>
      <c r="C366" s="9">
        <f t="shared" si="15"/>
        <v>19.8</v>
      </c>
      <c r="D366" s="10">
        <v>74</v>
      </c>
      <c r="E366" s="9">
        <f t="shared" si="16"/>
        <v>51.8</v>
      </c>
      <c r="F366" s="9">
        <f t="shared" si="17"/>
        <v>71.6</v>
      </c>
    </row>
    <row r="367" s="1" customFormat="1" spans="1:6">
      <c r="A367" s="8" t="str">
        <f>"2020891305"</f>
        <v>2020891305</v>
      </c>
      <c r="B367" s="9">
        <v>69</v>
      </c>
      <c r="C367" s="9">
        <f t="shared" si="15"/>
        <v>20.7</v>
      </c>
      <c r="D367" s="10">
        <v>79</v>
      </c>
      <c r="E367" s="9">
        <f t="shared" si="16"/>
        <v>55.3</v>
      </c>
      <c r="F367" s="9">
        <f t="shared" si="17"/>
        <v>76</v>
      </c>
    </row>
    <row r="368" s="1" customFormat="1" spans="1:6">
      <c r="A368" s="8" t="str">
        <f>"2020891306"</f>
        <v>2020891306</v>
      </c>
      <c r="B368" s="9">
        <v>49</v>
      </c>
      <c r="C368" s="9">
        <f t="shared" si="15"/>
        <v>14.7</v>
      </c>
      <c r="D368" s="10">
        <v>76</v>
      </c>
      <c r="E368" s="9">
        <f t="shared" si="16"/>
        <v>53.2</v>
      </c>
      <c r="F368" s="9">
        <f t="shared" si="17"/>
        <v>67.9</v>
      </c>
    </row>
    <row r="369" s="1" customFormat="1" spans="1:6">
      <c r="A369" s="8" t="str">
        <f>"2020891307"</f>
        <v>2020891307</v>
      </c>
      <c r="B369" s="9">
        <v>67</v>
      </c>
      <c r="C369" s="9">
        <f t="shared" si="15"/>
        <v>20.1</v>
      </c>
      <c r="D369" s="10">
        <v>63</v>
      </c>
      <c r="E369" s="9">
        <f t="shared" si="16"/>
        <v>44.1</v>
      </c>
      <c r="F369" s="9">
        <f t="shared" si="17"/>
        <v>64.2</v>
      </c>
    </row>
    <row r="370" s="1" customFormat="1" spans="1:6">
      <c r="A370" s="8" t="str">
        <f>"2020891308"</f>
        <v>2020891308</v>
      </c>
      <c r="B370" s="9">
        <v>66</v>
      </c>
      <c r="C370" s="9">
        <f t="shared" si="15"/>
        <v>19.8</v>
      </c>
      <c r="D370" s="10">
        <v>84</v>
      </c>
      <c r="E370" s="9">
        <f t="shared" si="16"/>
        <v>58.8</v>
      </c>
      <c r="F370" s="9">
        <f t="shared" si="17"/>
        <v>78.6</v>
      </c>
    </row>
    <row r="371" s="1" customFormat="1" spans="1:6">
      <c r="A371" s="8" t="str">
        <f>"2020891309"</f>
        <v>2020891309</v>
      </c>
      <c r="B371" s="9">
        <v>0</v>
      </c>
      <c r="C371" s="9">
        <f t="shared" si="15"/>
        <v>0</v>
      </c>
      <c r="D371" s="10">
        <v>0</v>
      </c>
      <c r="E371" s="9">
        <f t="shared" si="16"/>
        <v>0</v>
      </c>
      <c r="F371" s="9">
        <f t="shared" si="17"/>
        <v>0</v>
      </c>
    </row>
    <row r="372" s="1" customFormat="1" spans="1:6">
      <c r="A372" s="8" t="str">
        <f>"2020891310"</f>
        <v>2020891310</v>
      </c>
      <c r="B372" s="9">
        <v>71</v>
      </c>
      <c r="C372" s="9">
        <f t="shared" si="15"/>
        <v>21.3</v>
      </c>
      <c r="D372" s="10">
        <v>75</v>
      </c>
      <c r="E372" s="9">
        <f t="shared" si="16"/>
        <v>52.5</v>
      </c>
      <c r="F372" s="9">
        <f t="shared" si="17"/>
        <v>73.8</v>
      </c>
    </row>
    <row r="373" s="1" customFormat="1" spans="1:6">
      <c r="A373" s="8" t="str">
        <f>"2020891311"</f>
        <v>2020891311</v>
      </c>
      <c r="B373" s="9">
        <v>57</v>
      </c>
      <c r="C373" s="9">
        <f t="shared" si="15"/>
        <v>17.1</v>
      </c>
      <c r="D373" s="10">
        <v>85</v>
      </c>
      <c r="E373" s="9">
        <f t="shared" si="16"/>
        <v>59.5</v>
      </c>
      <c r="F373" s="9">
        <f t="shared" si="17"/>
        <v>76.6</v>
      </c>
    </row>
    <row r="374" s="1" customFormat="1" spans="1:6">
      <c r="A374" s="8" t="str">
        <f>"2020891312"</f>
        <v>2020891312</v>
      </c>
      <c r="B374" s="9">
        <v>0</v>
      </c>
      <c r="C374" s="9">
        <f t="shared" si="15"/>
        <v>0</v>
      </c>
      <c r="D374" s="10">
        <v>0</v>
      </c>
      <c r="E374" s="9">
        <f t="shared" si="16"/>
        <v>0</v>
      </c>
      <c r="F374" s="9">
        <f t="shared" si="17"/>
        <v>0</v>
      </c>
    </row>
    <row r="375" s="1" customFormat="1" spans="1:6">
      <c r="A375" s="8" t="str">
        <f>"2020891313"</f>
        <v>2020891313</v>
      </c>
      <c r="B375" s="9">
        <v>63</v>
      </c>
      <c r="C375" s="9">
        <f t="shared" si="15"/>
        <v>18.9</v>
      </c>
      <c r="D375" s="10">
        <v>85</v>
      </c>
      <c r="E375" s="9">
        <f t="shared" si="16"/>
        <v>59.5</v>
      </c>
      <c r="F375" s="9">
        <f t="shared" si="17"/>
        <v>78.4</v>
      </c>
    </row>
    <row r="376" s="1" customFormat="1" spans="1:6">
      <c r="A376" s="8" t="str">
        <f>"2020891314"</f>
        <v>2020891314</v>
      </c>
      <c r="B376" s="9">
        <v>0</v>
      </c>
      <c r="C376" s="9">
        <f t="shared" si="15"/>
        <v>0</v>
      </c>
      <c r="D376" s="10">
        <v>0</v>
      </c>
      <c r="E376" s="9">
        <f t="shared" si="16"/>
        <v>0</v>
      </c>
      <c r="F376" s="9">
        <f t="shared" si="17"/>
        <v>0</v>
      </c>
    </row>
    <row r="377" s="1" customFormat="1" spans="1:6">
      <c r="A377" s="8" t="str">
        <f>"2020891315"</f>
        <v>2020891315</v>
      </c>
      <c r="B377" s="9">
        <v>69</v>
      </c>
      <c r="C377" s="9">
        <f t="shared" si="15"/>
        <v>20.7</v>
      </c>
      <c r="D377" s="10">
        <v>65</v>
      </c>
      <c r="E377" s="9">
        <f t="shared" si="16"/>
        <v>45.5</v>
      </c>
      <c r="F377" s="9">
        <f t="shared" si="17"/>
        <v>66.2</v>
      </c>
    </row>
    <row r="378" s="1" customFormat="1" spans="1:6">
      <c r="A378" s="8" t="str">
        <f>"2020891316"</f>
        <v>2020891316</v>
      </c>
      <c r="B378" s="9">
        <v>74</v>
      </c>
      <c r="C378" s="9">
        <f t="shared" si="15"/>
        <v>22.2</v>
      </c>
      <c r="D378" s="10">
        <v>93</v>
      </c>
      <c r="E378" s="9">
        <f t="shared" si="16"/>
        <v>65.1</v>
      </c>
      <c r="F378" s="9">
        <f t="shared" si="17"/>
        <v>87.3</v>
      </c>
    </row>
    <row r="379" s="1" customFormat="1" spans="1:6">
      <c r="A379" s="8" t="str">
        <f>"2020891317"</f>
        <v>2020891317</v>
      </c>
      <c r="B379" s="9">
        <v>69</v>
      </c>
      <c r="C379" s="9">
        <f t="shared" si="15"/>
        <v>20.7</v>
      </c>
      <c r="D379" s="10">
        <v>87</v>
      </c>
      <c r="E379" s="9">
        <f t="shared" si="16"/>
        <v>60.9</v>
      </c>
      <c r="F379" s="9">
        <f t="shared" si="17"/>
        <v>81.6</v>
      </c>
    </row>
    <row r="380" s="1" customFormat="1" spans="1:6">
      <c r="A380" s="8" t="str">
        <f>"2020891318"</f>
        <v>2020891318</v>
      </c>
      <c r="B380" s="9">
        <v>74</v>
      </c>
      <c r="C380" s="9">
        <f t="shared" si="15"/>
        <v>22.2</v>
      </c>
      <c r="D380" s="10">
        <v>87</v>
      </c>
      <c r="E380" s="9">
        <f t="shared" si="16"/>
        <v>60.9</v>
      </c>
      <c r="F380" s="9">
        <f t="shared" si="17"/>
        <v>83.1</v>
      </c>
    </row>
    <row r="381" s="1" customFormat="1" spans="1:6">
      <c r="A381" s="8" t="str">
        <f>"2020891319"</f>
        <v>2020891319</v>
      </c>
      <c r="B381" s="9">
        <v>0</v>
      </c>
      <c r="C381" s="9">
        <f t="shared" si="15"/>
        <v>0</v>
      </c>
      <c r="D381" s="10">
        <v>0</v>
      </c>
      <c r="E381" s="9">
        <f t="shared" si="16"/>
        <v>0</v>
      </c>
      <c r="F381" s="9">
        <f t="shared" si="17"/>
        <v>0</v>
      </c>
    </row>
    <row r="382" s="1" customFormat="1" spans="1:6">
      <c r="A382" s="8" t="str">
        <f>"2020891320"</f>
        <v>2020891320</v>
      </c>
      <c r="B382" s="9">
        <v>0</v>
      </c>
      <c r="C382" s="9">
        <f t="shared" si="15"/>
        <v>0</v>
      </c>
      <c r="D382" s="10">
        <v>0</v>
      </c>
      <c r="E382" s="9">
        <f t="shared" si="16"/>
        <v>0</v>
      </c>
      <c r="F382" s="9">
        <f t="shared" si="17"/>
        <v>0</v>
      </c>
    </row>
    <row r="383" s="1" customFormat="1" spans="1:6">
      <c r="A383" s="8" t="str">
        <f>"2020891321"</f>
        <v>2020891321</v>
      </c>
      <c r="B383" s="9">
        <v>76</v>
      </c>
      <c r="C383" s="9">
        <f t="shared" si="15"/>
        <v>22.8</v>
      </c>
      <c r="D383" s="10">
        <v>69</v>
      </c>
      <c r="E383" s="9">
        <f t="shared" si="16"/>
        <v>48.3</v>
      </c>
      <c r="F383" s="9">
        <f t="shared" si="17"/>
        <v>71.1</v>
      </c>
    </row>
    <row r="384" s="1" customFormat="1" spans="1:6">
      <c r="A384" s="8" t="str">
        <f>"2020891322"</f>
        <v>2020891322</v>
      </c>
      <c r="B384" s="9">
        <v>58</v>
      </c>
      <c r="C384" s="9">
        <f t="shared" si="15"/>
        <v>17.4</v>
      </c>
      <c r="D384" s="10">
        <v>76</v>
      </c>
      <c r="E384" s="9">
        <f t="shared" si="16"/>
        <v>53.2</v>
      </c>
      <c r="F384" s="9">
        <f t="shared" si="17"/>
        <v>70.6</v>
      </c>
    </row>
    <row r="385" s="1" customFormat="1" spans="1:6">
      <c r="A385" s="8" t="str">
        <f>"2020891323"</f>
        <v>2020891323</v>
      </c>
      <c r="B385" s="9">
        <v>64</v>
      </c>
      <c r="C385" s="9">
        <f t="shared" si="15"/>
        <v>19.2</v>
      </c>
      <c r="D385" s="10">
        <v>90</v>
      </c>
      <c r="E385" s="9">
        <f t="shared" si="16"/>
        <v>63</v>
      </c>
      <c r="F385" s="9">
        <f t="shared" si="17"/>
        <v>82.2</v>
      </c>
    </row>
    <row r="386" s="1" customFormat="1" spans="1:6">
      <c r="A386" s="8" t="str">
        <f>"2020891324"</f>
        <v>2020891324</v>
      </c>
      <c r="B386" s="9">
        <v>64</v>
      </c>
      <c r="C386" s="9">
        <f t="shared" si="15"/>
        <v>19.2</v>
      </c>
      <c r="D386" s="10">
        <v>67</v>
      </c>
      <c r="E386" s="9">
        <f t="shared" si="16"/>
        <v>46.9</v>
      </c>
      <c r="F386" s="9">
        <f t="shared" si="17"/>
        <v>66.1</v>
      </c>
    </row>
    <row r="387" s="1" customFormat="1" spans="1:6">
      <c r="A387" s="8" t="str">
        <f>"2020891325"</f>
        <v>2020891325</v>
      </c>
      <c r="B387" s="9">
        <v>64</v>
      </c>
      <c r="C387" s="9">
        <f t="shared" ref="C387:C450" si="18">B387*0.3</f>
        <v>19.2</v>
      </c>
      <c r="D387" s="10">
        <v>85</v>
      </c>
      <c r="E387" s="9">
        <f t="shared" ref="E387:E450" si="19">D387*0.7</f>
        <v>59.5</v>
      </c>
      <c r="F387" s="9">
        <f t="shared" ref="F387:F450" si="20">C387+E387</f>
        <v>78.7</v>
      </c>
    </row>
    <row r="388" s="1" customFormat="1" spans="1:6">
      <c r="A388" s="8" t="str">
        <f>"2020891326"</f>
        <v>2020891326</v>
      </c>
      <c r="B388" s="9">
        <v>60</v>
      </c>
      <c r="C388" s="9">
        <f t="shared" si="18"/>
        <v>18</v>
      </c>
      <c r="D388" s="10">
        <v>68</v>
      </c>
      <c r="E388" s="9">
        <f t="shared" si="19"/>
        <v>47.6</v>
      </c>
      <c r="F388" s="9">
        <f t="shared" si="20"/>
        <v>65.6</v>
      </c>
    </row>
    <row r="389" s="1" customFormat="1" spans="1:6">
      <c r="A389" s="8" t="str">
        <f>"2020891327"</f>
        <v>2020891327</v>
      </c>
      <c r="B389" s="9">
        <v>54</v>
      </c>
      <c r="C389" s="9">
        <f t="shared" si="18"/>
        <v>16.2</v>
      </c>
      <c r="D389" s="10">
        <v>87</v>
      </c>
      <c r="E389" s="9">
        <f t="shared" si="19"/>
        <v>60.9</v>
      </c>
      <c r="F389" s="9">
        <f t="shared" si="20"/>
        <v>77.1</v>
      </c>
    </row>
    <row r="390" s="1" customFormat="1" spans="1:6">
      <c r="A390" s="8" t="str">
        <f>"2020891328"</f>
        <v>2020891328</v>
      </c>
      <c r="B390" s="9">
        <v>65</v>
      </c>
      <c r="C390" s="9">
        <f t="shared" si="18"/>
        <v>19.5</v>
      </c>
      <c r="D390" s="10">
        <v>65</v>
      </c>
      <c r="E390" s="9">
        <f t="shared" si="19"/>
        <v>45.5</v>
      </c>
      <c r="F390" s="9">
        <f t="shared" si="20"/>
        <v>65</v>
      </c>
    </row>
    <row r="391" s="1" customFormat="1" spans="1:6">
      <c r="A391" s="8" t="str">
        <f>"2020891329"</f>
        <v>2020891329</v>
      </c>
      <c r="B391" s="9">
        <v>0</v>
      </c>
      <c r="C391" s="9">
        <f t="shared" si="18"/>
        <v>0</v>
      </c>
      <c r="D391" s="10">
        <v>0</v>
      </c>
      <c r="E391" s="9">
        <f t="shared" si="19"/>
        <v>0</v>
      </c>
      <c r="F391" s="9">
        <f t="shared" si="20"/>
        <v>0</v>
      </c>
    </row>
    <row r="392" s="1" customFormat="1" spans="1:6">
      <c r="A392" s="8" t="str">
        <f>"2020891330"</f>
        <v>2020891330</v>
      </c>
      <c r="B392" s="9">
        <v>57</v>
      </c>
      <c r="C392" s="9">
        <f t="shared" si="18"/>
        <v>17.1</v>
      </c>
      <c r="D392" s="10">
        <v>75</v>
      </c>
      <c r="E392" s="9">
        <f t="shared" si="19"/>
        <v>52.5</v>
      </c>
      <c r="F392" s="9">
        <f t="shared" si="20"/>
        <v>69.6</v>
      </c>
    </row>
    <row r="393" s="1" customFormat="1" spans="1:6">
      <c r="A393" s="8" t="str">
        <f>"2020891401"</f>
        <v>2020891401</v>
      </c>
      <c r="B393" s="9">
        <v>0</v>
      </c>
      <c r="C393" s="9">
        <f t="shared" si="18"/>
        <v>0</v>
      </c>
      <c r="D393" s="10">
        <v>0</v>
      </c>
      <c r="E393" s="9">
        <f t="shared" si="19"/>
        <v>0</v>
      </c>
      <c r="F393" s="9">
        <f t="shared" si="20"/>
        <v>0</v>
      </c>
    </row>
    <row r="394" s="1" customFormat="1" spans="1:6">
      <c r="A394" s="8" t="str">
        <f>"2020891402"</f>
        <v>2020891402</v>
      </c>
      <c r="B394" s="9">
        <v>0</v>
      </c>
      <c r="C394" s="9">
        <f t="shared" si="18"/>
        <v>0</v>
      </c>
      <c r="D394" s="10">
        <v>0</v>
      </c>
      <c r="E394" s="9">
        <f t="shared" si="19"/>
        <v>0</v>
      </c>
      <c r="F394" s="9">
        <f t="shared" si="20"/>
        <v>0</v>
      </c>
    </row>
    <row r="395" s="1" customFormat="1" spans="1:6">
      <c r="A395" s="8" t="str">
        <f>"2020891403"</f>
        <v>2020891403</v>
      </c>
      <c r="B395" s="9">
        <v>49</v>
      </c>
      <c r="C395" s="9">
        <f t="shared" si="18"/>
        <v>14.7</v>
      </c>
      <c r="D395" s="10">
        <v>68</v>
      </c>
      <c r="E395" s="9">
        <f t="shared" si="19"/>
        <v>47.6</v>
      </c>
      <c r="F395" s="9">
        <f t="shared" si="20"/>
        <v>62.3</v>
      </c>
    </row>
    <row r="396" s="1" customFormat="1" spans="1:6">
      <c r="A396" s="8" t="str">
        <f>"2020891404"</f>
        <v>2020891404</v>
      </c>
      <c r="B396" s="9">
        <v>75</v>
      </c>
      <c r="C396" s="9">
        <f t="shared" si="18"/>
        <v>22.5</v>
      </c>
      <c r="D396" s="10">
        <v>92</v>
      </c>
      <c r="E396" s="9">
        <f t="shared" si="19"/>
        <v>64.4</v>
      </c>
      <c r="F396" s="9">
        <f t="shared" si="20"/>
        <v>86.9</v>
      </c>
    </row>
    <row r="397" s="1" customFormat="1" spans="1:6">
      <c r="A397" s="8" t="str">
        <f>"2020891405"</f>
        <v>2020891405</v>
      </c>
      <c r="B397" s="9">
        <v>76</v>
      </c>
      <c r="C397" s="9">
        <f t="shared" si="18"/>
        <v>22.8</v>
      </c>
      <c r="D397" s="10">
        <v>82</v>
      </c>
      <c r="E397" s="9">
        <f t="shared" si="19"/>
        <v>57.4</v>
      </c>
      <c r="F397" s="9">
        <f t="shared" si="20"/>
        <v>80.2</v>
      </c>
    </row>
    <row r="398" s="1" customFormat="1" spans="1:6">
      <c r="A398" s="8" t="str">
        <f>"2020891406"</f>
        <v>2020891406</v>
      </c>
      <c r="B398" s="9">
        <v>59</v>
      </c>
      <c r="C398" s="9">
        <f t="shared" si="18"/>
        <v>17.7</v>
      </c>
      <c r="D398" s="10">
        <v>87</v>
      </c>
      <c r="E398" s="9">
        <f t="shared" si="19"/>
        <v>60.9</v>
      </c>
      <c r="F398" s="9">
        <f t="shared" si="20"/>
        <v>78.6</v>
      </c>
    </row>
    <row r="399" s="1" customFormat="1" spans="1:6">
      <c r="A399" s="8" t="str">
        <f>"2020891407"</f>
        <v>2020891407</v>
      </c>
      <c r="B399" s="9">
        <v>65</v>
      </c>
      <c r="C399" s="9">
        <f t="shared" si="18"/>
        <v>19.5</v>
      </c>
      <c r="D399" s="10">
        <v>68</v>
      </c>
      <c r="E399" s="9">
        <f t="shared" si="19"/>
        <v>47.6</v>
      </c>
      <c r="F399" s="9">
        <f t="shared" si="20"/>
        <v>67.1</v>
      </c>
    </row>
    <row r="400" s="1" customFormat="1" spans="1:6">
      <c r="A400" s="8" t="str">
        <f>"2020891408"</f>
        <v>2020891408</v>
      </c>
      <c r="B400" s="9">
        <v>57</v>
      </c>
      <c r="C400" s="9">
        <f t="shared" si="18"/>
        <v>17.1</v>
      </c>
      <c r="D400" s="10">
        <v>75</v>
      </c>
      <c r="E400" s="9">
        <f t="shared" si="19"/>
        <v>52.5</v>
      </c>
      <c r="F400" s="9">
        <f t="shared" si="20"/>
        <v>69.6</v>
      </c>
    </row>
    <row r="401" s="1" customFormat="1" spans="1:6">
      <c r="A401" s="8" t="str">
        <f>"2020891409"</f>
        <v>2020891409</v>
      </c>
      <c r="B401" s="9">
        <v>0</v>
      </c>
      <c r="C401" s="9">
        <f t="shared" si="18"/>
        <v>0</v>
      </c>
      <c r="D401" s="10">
        <v>0</v>
      </c>
      <c r="E401" s="9">
        <f t="shared" si="19"/>
        <v>0</v>
      </c>
      <c r="F401" s="9">
        <f t="shared" si="20"/>
        <v>0</v>
      </c>
    </row>
    <row r="402" s="1" customFormat="1" spans="1:6">
      <c r="A402" s="8" t="str">
        <f>"2020891410"</f>
        <v>2020891410</v>
      </c>
      <c r="B402" s="9">
        <v>66</v>
      </c>
      <c r="C402" s="9">
        <f t="shared" si="18"/>
        <v>19.8</v>
      </c>
      <c r="D402" s="10">
        <v>93</v>
      </c>
      <c r="E402" s="9">
        <f t="shared" si="19"/>
        <v>65.1</v>
      </c>
      <c r="F402" s="9">
        <f t="shared" si="20"/>
        <v>84.9</v>
      </c>
    </row>
    <row r="403" s="1" customFormat="1" spans="1:6">
      <c r="A403" s="8" t="str">
        <f>"2020891411"</f>
        <v>2020891411</v>
      </c>
      <c r="B403" s="9">
        <v>75</v>
      </c>
      <c r="C403" s="9">
        <f t="shared" si="18"/>
        <v>22.5</v>
      </c>
      <c r="D403" s="10">
        <v>90</v>
      </c>
      <c r="E403" s="9">
        <f t="shared" si="19"/>
        <v>63</v>
      </c>
      <c r="F403" s="9">
        <f t="shared" si="20"/>
        <v>85.5</v>
      </c>
    </row>
    <row r="404" s="1" customFormat="1" spans="1:6">
      <c r="A404" s="8" t="str">
        <f>"2020891412"</f>
        <v>2020891412</v>
      </c>
      <c r="B404" s="9">
        <v>0</v>
      </c>
      <c r="C404" s="9">
        <f t="shared" si="18"/>
        <v>0</v>
      </c>
      <c r="D404" s="10">
        <v>0</v>
      </c>
      <c r="E404" s="9">
        <f t="shared" si="19"/>
        <v>0</v>
      </c>
      <c r="F404" s="9">
        <f t="shared" si="20"/>
        <v>0</v>
      </c>
    </row>
    <row r="405" s="1" customFormat="1" spans="1:6">
      <c r="A405" s="8" t="str">
        <f>"2020891413"</f>
        <v>2020891413</v>
      </c>
      <c r="B405" s="9">
        <v>65</v>
      </c>
      <c r="C405" s="9">
        <f t="shared" si="18"/>
        <v>19.5</v>
      </c>
      <c r="D405" s="10">
        <v>72</v>
      </c>
      <c r="E405" s="9">
        <f t="shared" si="19"/>
        <v>50.4</v>
      </c>
      <c r="F405" s="9">
        <f t="shared" si="20"/>
        <v>69.9</v>
      </c>
    </row>
    <row r="406" s="1" customFormat="1" spans="1:6">
      <c r="A406" s="8" t="str">
        <f>"2020891414"</f>
        <v>2020891414</v>
      </c>
      <c r="B406" s="9">
        <v>0</v>
      </c>
      <c r="C406" s="9">
        <f t="shared" si="18"/>
        <v>0</v>
      </c>
      <c r="D406" s="10">
        <v>0</v>
      </c>
      <c r="E406" s="9">
        <f t="shared" si="19"/>
        <v>0</v>
      </c>
      <c r="F406" s="9">
        <f t="shared" si="20"/>
        <v>0</v>
      </c>
    </row>
    <row r="407" s="1" customFormat="1" spans="1:6">
      <c r="A407" s="8" t="str">
        <f>"2020891415"</f>
        <v>2020891415</v>
      </c>
      <c r="B407" s="9">
        <v>65</v>
      </c>
      <c r="C407" s="9">
        <f t="shared" si="18"/>
        <v>19.5</v>
      </c>
      <c r="D407" s="10">
        <v>90</v>
      </c>
      <c r="E407" s="9">
        <f t="shared" si="19"/>
        <v>63</v>
      </c>
      <c r="F407" s="9">
        <f t="shared" si="20"/>
        <v>82.5</v>
      </c>
    </row>
    <row r="408" s="1" customFormat="1" spans="1:6">
      <c r="A408" s="8" t="str">
        <f>"2020891416"</f>
        <v>2020891416</v>
      </c>
      <c r="B408" s="9">
        <v>73</v>
      </c>
      <c r="C408" s="9">
        <f t="shared" si="18"/>
        <v>21.9</v>
      </c>
      <c r="D408" s="10">
        <v>80</v>
      </c>
      <c r="E408" s="9">
        <f t="shared" si="19"/>
        <v>56</v>
      </c>
      <c r="F408" s="9">
        <f t="shared" si="20"/>
        <v>77.9</v>
      </c>
    </row>
    <row r="409" s="1" customFormat="1" spans="1:6">
      <c r="A409" s="8" t="str">
        <f>"2020891417"</f>
        <v>2020891417</v>
      </c>
      <c r="B409" s="9">
        <v>57</v>
      </c>
      <c r="C409" s="9">
        <f t="shared" si="18"/>
        <v>17.1</v>
      </c>
      <c r="D409" s="10">
        <v>84</v>
      </c>
      <c r="E409" s="9">
        <f t="shared" si="19"/>
        <v>58.8</v>
      </c>
      <c r="F409" s="9">
        <f t="shared" si="20"/>
        <v>75.9</v>
      </c>
    </row>
    <row r="410" s="1" customFormat="1" spans="1:6">
      <c r="A410" s="8" t="str">
        <f>"2020891418"</f>
        <v>2020891418</v>
      </c>
      <c r="B410" s="9">
        <v>57</v>
      </c>
      <c r="C410" s="9">
        <f t="shared" si="18"/>
        <v>17.1</v>
      </c>
      <c r="D410" s="10">
        <v>76</v>
      </c>
      <c r="E410" s="9">
        <f t="shared" si="19"/>
        <v>53.2</v>
      </c>
      <c r="F410" s="9">
        <f t="shared" si="20"/>
        <v>70.3</v>
      </c>
    </row>
    <row r="411" s="1" customFormat="1" spans="1:6">
      <c r="A411" s="8" t="str">
        <f>"2020891419"</f>
        <v>2020891419</v>
      </c>
      <c r="B411" s="9">
        <v>61</v>
      </c>
      <c r="C411" s="9">
        <f t="shared" si="18"/>
        <v>18.3</v>
      </c>
      <c r="D411" s="10">
        <v>84</v>
      </c>
      <c r="E411" s="9">
        <f t="shared" si="19"/>
        <v>58.8</v>
      </c>
      <c r="F411" s="9">
        <f t="shared" si="20"/>
        <v>77.1</v>
      </c>
    </row>
    <row r="412" s="1" customFormat="1" spans="1:6">
      <c r="A412" s="8" t="str">
        <f>"2020891420"</f>
        <v>2020891420</v>
      </c>
      <c r="B412" s="9">
        <v>54</v>
      </c>
      <c r="C412" s="9">
        <f t="shared" si="18"/>
        <v>16.2</v>
      </c>
      <c r="D412" s="10">
        <v>89</v>
      </c>
      <c r="E412" s="9">
        <f t="shared" si="19"/>
        <v>62.3</v>
      </c>
      <c r="F412" s="9">
        <f t="shared" si="20"/>
        <v>78.5</v>
      </c>
    </row>
    <row r="413" s="1" customFormat="1" spans="1:6">
      <c r="A413" s="8" t="str">
        <f>"2020891421"</f>
        <v>2020891421</v>
      </c>
      <c r="B413" s="9">
        <v>68</v>
      </c>
      <c r="C413" s="9">
        <f t="shared" si="18"/>
        <v>20.4</v>
      </c>
      <c r="D413" s="10">
        <v>86</v>
      </c>
      <c r="E413" s="9">
        <f t="shared" si="19"/>
        <v>60.2</v>
      </c>
      <c r="F413" s="9">
        <f t="shared" si="20"/>
        <v>80.6</v>
      </c>
    </row>
    <row r="414" s="1" customFormat="1" spans="1:6">
      <c r="A414" s="8" t="str">
        <f>"2020891422"</f>
        <v>2020891422</v>
      </c>
      <c r="B414" s="9">
        <v>56</v>
      </c>
      <c r="C414" s="9">
        <f t="shared" si="18"/>
        <v>16.8</v>
      </c>
      <c r="D414" s="10">
        <v>93</v>
      </c>
      <c r="E414" s="9">
        <f t="shared" si="19"/>
        <v>65.1</v>
      </c>
      <c r="F414" s="9">
        <f t="shared" si="20"/>
        <v>81.9</v>
      </c>
    </row>
    <row r="415" s="1" customFormat="1" spans="1:6">
      <c r="A415" s="8" t="str">
        <f>"2020891423"</f>
        <v>2020891423</v>
      </c>
      <c r="B415" s="9">
        <v>64</v>
      </c>
      <c r="C415" s="9">
        <f t="shared" si="18"/>
        <v>19.2</v>
      </c>
      <c r="D415" s="10">
        <v>93</v>
      </c>
      <c r="E415" s="9">
        <f t="shared" si="19"/>
        <v>65.1</v>
      </c>
      <c r="F415" s="9">
        <f t="shared" si="20"/>
        <v>84.3</v>
      </c>
    </row>
    <row r="416" s="1" customFormat="1" spans="1:6">
      <c r="A416" s="8" t="str">
        <f>"2020891424"</f>
        <v>2020891424</v>
      </c>
      <c r="B416" s="9">
        <v>73</v>
      </c>
      <c r="C416" s="9">
        <f t="shared" si="18"/>
        <v>21.9</v>
      </c>
      <c r="D416" s="10">
        <v>93</v>
      </c>
      <c r="E416" s="9">
        <f t="shared" si="19"/>
        <v>65.1</v>
      </c>
      <c r="F416" s="9">
        <f t="shared" si="20"/>
        <v>87</v>
      </c>
    </row>
    <row r="417" s="1" customFormat="1" spans="1:6">
      <c r="A417" s="8" t="str">
        <f>"2020891425"</f>
        <v>2020891425</v>
      </c>
      <c r="B417" s="9">
        <v>0</v>
      </c>
      <c r="C417" s="9">
        <f t="shared" si="18"/>
        <v>0</v>
      </c>
      <c r="D417" s="10">
        <v>0</v>
      </c>
      <c r="E417" s="9">
        <f t="shared" si="19"/>
        <v>0</v>
      </c>
      <c r="F417" s="9">
        <f t="shared" si="20"/>
        <v>0</v>
      </c>
    </row>
    <row r="418" s="1" customFormat="1" spans="1:6">
      <c r="A418" s="8" t="str">
        <f>"2020891426"</f>
        <v>2020891426</v>
      </c>
      <c r="B418" s="9">
        <v>63</v>
      </c>
      <c r="C418" s="9">
        <f t="shared" si="18"/>
        <v>18.9</v>
      </c>
      <c r="D418" s="10">
        <v>76</v>
      </c>
      <c r="E418" s="9">
        <f t="shared" si="19"/>
        <v>53.2</v>
      </c>
      <c r="F418" s="9">
        <f t="shared" si="20"/>
        <v>72.1</v>
      </c>
    </row>
    <row r="419" s="1" customFormat="1" spans="1:6">
      <c r="A419" s="8" t="str">
        <f>"2020891427"</f>
        <v>2020891427</v>
      </c>
      <c r="B419" s="9">
        <v>63</v>
      </c>
      <c r="C419" s="9">
        <f t="shared" si="18"/>
        <v>18.9</v>
      </c>
      <c r="D419" s="10">
        <v>78</v>
      </c>
      <c r="E419" s="9">
        <f t="shared" si="19"/>
        <v>54.6</v>
      </c>
      <c r="F419" s="9">
        <f t="shared" si="20"/>
        <v>73.5</v>
      </c>
    </row>
    <row r="420" s="1" customFormat="1" spans="1:6">
      <c r="A420" s="8" t="str">
        <f>"2020891428"</f>
        <v>2020891428</v>
      </c>
      <c r="B420" s="9">
        <v>50</v>
      </c>
      <c r="C420" s="9">
        <f t="shared" si="18"/>
        <v>15</v>
      </c>
      <c r="D420" s="10">
        <v>89</v>
      </c>
      <c r="E420" s="9">
        <f t="shared" si="19"/>
        <v>62.3</v>
      </c>
      <c r="F420" s="9">
        <f t="shared" si="20"/>
        <v>77.3</v>
      </c>
    </row>
    <row r="421" s="1" customFormat="1" spans="1:6">
      <c r="A421" s="8" t="str">
        <f>"2020891429"</f>
        <v>2020891429</v>
      </c>
      <c r="B421" s="9">
        <v>70</v>
      </c>
      <c r="C421" s="9">
        <f t="shared" si="18"/>
        <v>21</v>
      </c>
      <c r="D421" s="10">
        <v>86</v>
      </c>
      <c r="E421" s="9">
        <f t="shared" si="19"/>
        <v>60.2</v>
      </c>
      <c r="F421" s="9">
        <f t="shared" si="20"/>
        <v>81.2</v>
      </c>
    </row>
    <row r="422" s="1" customFormat="1" spans="1:6">
      <c r="A422" s="8" t="str">
        <f>"2020891430"</f>
        <v>2020891430</v>
      </c>
      <c r="B422" s="9">
        <v>79</v>
      </c>
      <c r="C422" s="9">
        <f t="shared" si="18"/>
        <v>23.7</v>
      </c>
      <c r="D422" s="10">
        <v>79</v>
      </c>
      <c r="E422" s="9">
        <f t="shared" si="19"/>
        <v>55.3</v>
      </c>
      <c r="F422" s="9">
        <f t="shared" si="20"/>
        <v>79</v>
      </c>
    </row>
    <row r="423" s="1" customFormat="1" spans="1:6">
      <c r="A423" s="8" t="str">
        <f>"2020891501"</f>
        <v>2020891501</v>
      </c>
      <c r="B423" s="9">
        <v>41</v>
      </c>
      <c r="C423" s="9">
        <f t="shared" si="18"/>
        <v>12.3</v>
      </c>
      <c r="D423" s="10">
        <v>67</v>
      </c>
      <c r="E423" s="9">
        <f t="shared" si="19"/>
        <v>46.9</v>
      </c>
      <c r="F423" s="9">
        <f t="shared" si="20"/>
        <v>59.2</v>
      </c>
    </row>
    <row r="424" s="1" customFormat="1" spans="1:6">
      <c r="A424" s="8" t="str">
        <f>"2020891502"</f>
        <v>2020891502</v>
      </c>
      <c r="B424" s="9">
        <v>0</v>
      </c>
      <c r="C424" s="9">
        <f t="shared" si="18"/>
        <v>0</v>
      </c>
      <c r="D424" s="10">
        <v>0</v>
      </c>
      <c r="E424" s="9">
        <f t="shared" si="19"/>
        <v>0</v>
      </c>
      <c r="F424" s="9">
        <f t="shared" si="20"/>
        <v>0</v>
      </c>
    </row>
    <row r="425" s="1" customFormat="1" spans="1:6">
      <c r="A425" s="8" t="str">
        <f>"2020891503"</f>
        <v>2020891503</v>
      </c>
      <c r="B425" s="9">
        <v>0</v>
      </c>
      <c r="C425" s="9">
        <f t="shared" si="18"/>
        <v>0</v>
      </c>
      <c r="D425" s="10">
        <v>0</v>
      </c>
      <c r="E425" s="9">
        <f t="shared" si="19"/>
        <v>0</v>
      </c>
      <c r="F425" s="9">
        <f t="shared" si="20"/>
        <v>0</v>
      </c>
    </row>
    <row r="426" s="1" customFormat="1" spans="1:6">
      <c r="A426" s="8" t="str">
        <f>"2020891504"</f>
        <v>2020891504</v>
      </c>
      <c r="B426" s="9">
        <v>49</v>
      </c>
      <c r="C426" s="9">
        <f t="shared" si="18"/>
        <v>14.7</v>
      </c>
      <c r="D426" s="10">
        <v>92</v>
      </c>
      <c r="E426" s="9">
        <f t="shared" si="19"/>
        <v>64.4</v>
      </c>
      <c r="F426" s="9">
        <f t="shared" si="20"/>
        <v>79.1</v>
      </c>
    </row>
    <row r="427" s="1" customFormat="1" spans="1:6">
      <c r="A427" s="8" t="str">
        <f>"2020891505"</f>
        <v>2020891505</v>
      </c>
      <c r="B427" s="9">
        <v>0</v>
      </c>
      <c r="C427" s="9">
        <f t="shared" si="18"/>
        <v>0</v>
      </c>
      <c r="D427" s="10">
        <v>0</v>
      </c>
      <c r="E427" s="9">
        <f t="shared" si="19"/>
        <v>0</v>
      </c>
      <c r="F427" s="9">
        <f t="shared" si="20"/>
        <v>0</v>
      </c>
    </row>
    <row r="428" s="1" customFormat="1" spans="1:6">
      <c r="A428" s="8" t="str">
        <f>"2020891506"</f>
        <v>2020891506</v>
      </c>
      <c r="B428" s="9">
        <v>61</v>
      </c>
      <c r="C428" s="9">
        <f t="shared" si="18"/>
        <v>18.3</v>
      </c>
      <c r="D428" s="10">
        <v>83</v>
      </c>
      <c r="E428" s="9">
        <f t="shared" si="19"/>
        <v>58.1</v>
      </c>
      <c r="F428" s="9">
        <f t="shared" si="20"/>
        <v>76.4</v>
      </c>
    </row>
    <row r="429" s="1" customFormat="1" spans="1:6">
      <c r="A429" s="8" t="str">
        <f>"2020891507"</f>
        <v>2020891507</v>
      </c>
      <c r="B429" s="9">
        <v>76</v>
      </c>
      <c r="C429" s="9">
        <f t="shared" si="18"/>
        <v>22.8</v>
      </c>
      <c r="D429" s="10">
        <v>86</v>
      </c>
      <c r="E429" s="9">
        <f t="shared" si="19"/>
        <v>60.2</v>
      </c>
      <c r="F429" s="9">
        <f t="shared" si="20"/>
        <v>83</v>
      </c>
    </row>
    <row r="430" s="1" customFormat="1" spans="1:6">
      <c r="A430" s="8" t="str">
        <f>"2020891508"</f>
        <v>2020891508</v>
      </c>
      <c r="B430" s="9">
        <v>59</v>
      </c>
      <c r="C430" s="9">
        <f t="shared" si="18"/>
        <v>17.7</v>
      </c>
      <c r="D430" s="10">
        <v>73</v>
      </c>
      <c r="E430" s="9">
        <f t="shared" si="19"/>
        <v>51.1</v>
      </c>
      <c r="F430" s="9">
        <f t="shared" si="20"/>
        <v>68.8</v>
      </c>
    </row>
    <row r="431" s="1" customFormat="1" spans="1:6">
      <c r="A431" s="8" t="str">
        <f>"2020891509"</f>
        <v>2020891509</v>
      </c>
      <c r="B431" s="9">
        <v>64</v>
      </c>
      <c r="C431" s="9">
        <f t="shared" si="18"/>
        <v>19.2</v>
      </c>
      <c r="D431" s="10">
        <v>71</v>
      </c>
      <c r="E431" s="9">
        <f t="shared" si="19"/>
        <v>49.7</v>
      </c>
      <c r="F431" s="9">
        <f t="shared" si="20"/>
        <v>68.9</v>
      </c>
    </row>
    <row r="432" s="1" customFormat="1" spans="1:6">
      <c r="A432" s="8" t="str">
        <f>"2020891510"</f>
        <v>2020891510</v>
      </c>
      <c r="B432" s="9">
        <v>0</v>
      </c>
      <c r="C432" s="9">
        <f t="shared" si="18"/>
        <v>0</v>
      </c>
      <c r="D432" s="10">
        <v>0</v>
      </c>
      <c r="E432" s="9">
        <f t="shared" si="19"/>
        <v>0</v>
      </c>
      <c r="F432" s="9">
        <f t="shared" si="20"/>
        <v>0</v>
      </c>
    </row>
    <row r="433" s="1" customFormat="1" spans="1:6">
      <c r="A433" s="8" t="str">
        <f>"2020891511"</f>
        <v>2020891511</v>
      </c>
      <c r="B433" s="9">
        <v>60</v>
      </c>
      <c r="C433" s="9">
        <f t="shared" si="18"/>
        <v>18</v>
      </c>
      <c r="D433" s="10">
        <v>63</v>
      </c>
      <c r="E433" s="9">
        <f t="shared" si="19"/>
        <v>44.1</v>
      </c>
      <c r="F433" s="9">
        <f t="shared" si="20"/>
        <v>62.1</v>
      </c>
    </row>
    <row r="434" s="1" customFormat="1" spans="1:6">
      <c r="A434" s="8" t="str">
        <f>"2020891512"</f>
        <v>2020891512</v>
      </c>
      <c r="B434" s="9">
        <v>65</v>
      </c>
      <c r="C434" s="9">
        <f t="shared" si="18"/>
        <v>19.5</v>
      </c>
      <c r="D434" s="10">
        <v>82</v>
      </c>
      <c r="E434" s="9">
        <f t="shared" si="19"/>
        <v>57.4</v>
      </c>
      <c r="F434" s="9">
        <f t="shared" si="20"/>
        <v>76.9</v>
      </c>
    </row>
    <row r="435" s="1" customFormat="1" spans="1:6">
      <c r="A435" s="8" t="str">
        <f>"2020891513"</f>
        <v>2020891513</v>
      </c>
      <c r="B435" s="9">
        <v>61</v>
      </c>
      <c r="C435" s="9">
        <f t="shared" si="18"/>
        <v>18.3</v>
      </c>
      <c r="D435" s="10">
        <v>84</v>
      </c>
      <c r="E435" s="9">
        <f t="shared" si="19"/>
        <v>58.8</v>
      </c>
      <c r="F435" s="9">
        <f t="shared" si="20"/>
        <v>77.1</v>
      </c>
    </row>
    <row r="436" s="1" customFormat="1" spans="1:6">
      <c r="A436" s="8" t="str">
        <f>"2020891514"</f>
        <v>2020891514</v>
      </c>
      <c r="B436" s="9">
        <v>74</v>
      </c>
      <c r="C436" s="9">
        <f t="shared" si="18"/>
        <v>22.2</v>
      </c>
      <c r="D436" s="10">
        <v>71</v>
      </c>
      <c r="E436" s="9">
        <f t="shared" si="19"/>
        <v>49.7</v>
      </c>
      <c r="F436" s="9">
        <f t="shared" si="20"/>
        <v>71.9</v>
      </c>
    </row>
    <row r="437" s="1" customFormat="1" spans="1:6">
      <c r="A437" s="8" t="str">
        <f>"2020891515"</f>
        <v>2020891515</v>
      </c>
      <c r="B437" s="9">
        <v>71</v>
      </c>
      <c r="C437" s="9">
        <f t="shared" si="18"/>
        <v>21.3</v>
      </c>
      <c r="D437" s="10">
        <v>91</v>
      </c>
      <c r="E437" s="9">
        <f t="shared" si="19"/>
        <v>63.7</v>
      </c>
      <c r="F437" s="9">
        <f t="shared" si="20"/>
        <v>85</v>
      </c>
    </row>
    <row r="438" s="1" customFormat="1" spans="1:6">
      <c r="A438" s="8" t="str">
        <f>"2020891516"</f>
        <v>2020891516</v>
      </c>
      <c r="B438" s="9">
        <v>73</v>
      </c>
      <c r="C438" s="9">
        <f t="shared" si="18"/>
        <v>21.9</v>
      </c>
      <c r="D438" s="10">
        <v>68</v>
      </c>
      <c r="E438" s="9">
        <f t="shared" si="19"/>
        <v>47.6</v>
      </c>
      <c r="F438" s="9">
        <f t="shared" si="20"/>
        <v>69.5</v>
      </c>
    </row>
    <row r="439" s="1" customFormat="1" spans="1:6">
      <c r="A439" s="8" t="str">
        <f>"2020891517"</f>
        <v>2020891517</v>
      </c>
      <c r="B439" s="9">
        <v>0</v>
      </c>
      <c r="C439" s="9">
        <f t="shared" si="18"/>
        <v>0</v>
      </c>
      <c r="D439" s="10">
        <v>0</v>
      </c>
      <c r="E439" s="9">
        <f t="shared" si="19"/>
        <v>0</v>
      </c>
      <c r="F439" s="9">
        <f t="shared" si="20"/>
        <v>0</v>
      </c>
    </row>
    <row r="440" s="1" customFormat="1" spans="1:6">
      <c r="A440" s="8" t="str">
        <f>"2020891518"</f>
        <v>2020891518</v>
      </c>
      <c r="B440" s="9">
        <v>0</v>
      </c>
      <c r="C440" s="9">
        <f t="shared" si="18"/>
        <v>0</v>
      </c>
      <c r="D440" s="10">
        <v>0</v>
      </c>
      <c r="E440" s="9">
        <f t="shared" si="19"/>
        <v>0</v>
      </c>
      <c r="F440" s="9">
        <f t="shared" si="20"/>
        <v>0</v>
      </c>
    </row>
    <row r="441" s="1" customFormat="1" spans="1:6">
      <c r="A441" s="8" t="str">
        <f>"2020891519"</f>
        <v>2020891519</v>
      </c>
      <c r="B441" s="9">
        <v>55</v>
      </c>
      <c r="C441" s="9">
        <f t="shared" si="18"/>
        <v>16.5</v>
      </c>
      <c r="D441" s="10">
        <v>70</v>
      </c>
      <c r="E441" s="9">
        <f t="shared" si="19"/>
        <v>49</v>
      </c>
      <c r="F441" s="9">
        <f t="shared" si="20"/>
        <v>65.5</v>
      </c>
    </row>
    <row r="442" s="1" customFormat="1" spans="1:6">
      <c r="A442" s="8" t="str">
        <f>"2020891520"</f>
        <v>2020891520</v>
      </c>
      <c r="B442" s="9">
        <v>65</v>
      </c>
      <c r="C442" s="9">
        <f t="shared" si="18"/>
        <v>19.5</v>
      </c>
      <c r="D442" s="10">
        <v>72</v>
      </c>
      <c r="E442" s="9">
        <f t="shared" si="19"/>
        <v>50.4</v>
      </c>
      <c r="F442" s="9">
        <f t="shared" si="20"/>
        <v>69.9</v>
      </c>
    </row>
    <row r="443" s="1" customFormat="1" spans="1:6">
      <c r="A443" s="8" t="str">
        <f>"2020891521"</f>
        <v>2020891521</v>
      </c>
      <c r="B443" s="9">
        <v>0</v>
      </c>
      <c r="C443" s="9">
        <f t="shared" si="18"/>
        <v>0</v>
      </c>
      <c r="D443" s="10">
        <v>0</v>
      </c>
      <c r="E443" s="9">
        <f t="shared" si="19"/>
        <v>0</v>
      </c>
      <c r="F443" s="9">
        <f t="shared" si="20"/>
        <v>0</v>
      </c>
    </row>
    <row r="444" s="1" customFormat="1" spans="1:6">
      <c r="A444" s="8" t="str">
        <f>"2020891522"</f>
        <v>2020891522</v>
      </c>
      <c r="B444" s="9">
        <v>73</v>
      </c>
      <c r="C444" s="9">
        <f t="shared" si="18"/>
        <v>21.9</v>
      </c>
      <c r="D444" s="10">
        <v>76</v>
      </c>
      <c r="E444" s="9">
        <f t="shared" si="19"/>
        <v>53.2</v>
      </c>
      <c r="F444" s="9">
        <f t="shared" si="20"/>
        <v>75.1</v>
      </c>
    </row>
    <row r="445" s="1" customFormat="1" spans="1:6">
      <c r="A445" s="8" t="str">
        <f>"2020891523"</f>
        <v>2020891523</v>
      </c>
      <c r="B445" s="9">
        <v>0</v>
      </c>
      <c r="C445" s="9">
        <f t="shared" si="18"/>
        <v>0</v>
      </c>
      <c r="D445" s="10">
        <v>0</v>
      </c>
      <c r="E445" s="9">
        <f t="shared" si="19"/>
        <v>0</v>
      </c>
      <c r="F445" s="9">
        <f t="shared" si="20"/>
        <v>0</v>
      </c>
    </row>
    <row r="446" s="1" customFormat="1" spans="1:6">
      <c r="A446" s="8" t="str">
        <f>"2020891524"</f>
        <v>2020891524</v>
      </c>
      <c r="B446" s="9">
        <v>61</v>
      </c>
      <c r="C446" s="9">
        <f t="shared" si="18"/>
        <v>18.3</v>
      </c>
      <c r="D446" s="10">
        <v>68</v>
      </c>
      <c r="E446" s="9">
        <f t="shared" si="19"/>
        <v>47.6</v>
      </c>
      <c r="F446" s="9">
        <f t="shared" si="20"/>
        <v>65.9</v>
      </c>
    </row>
    <row r="447" s="1" customFormat="1" spans="1:6">
      <c r="A447" s="8" t="str">
        <f>"2020891525"</f>
        <v>2020891525</v>
      </c>
      <c r="B447" s="9">
        <v>59</v>
      </c>
      <c r="C447" s="9">
        <f t="shared" si="18"/>
        <v>17.7</v>
      </c>
      <c r="D447" s="10">
        <v>79</v>
      </c>
      <c r="E447" s="9">
        <f t="shared" si="19"/>
        <v>55.3</v>
      </c>
      <c r="F447" s="9">
        <f t="shared" si="20"/>
        <v>73</v>
      </c>
    </row>
    <row r="448" s="1" customFormat="1" spans="1:6">
      <c r="A448" s="8" t="str">
        <f>"2020891526"</f>
        <v>2020891526</v>
      </c>
      <c r="B448" s="9">
        <v>70</v>
      </c>
      <c r="C448" s="9">
        <f t="shared" si="18"/>
        <v>21</v>
      </c>
      <c r="D448" s="10">
        <v>95</v>
      </c>
      <c r="E448" s="9">
        <f t="shared" si="19"/>
        <v>66.5</v>
      </c>
      <c r="F448" s="9">
        <f t="shared" si="20"/>
        <v>87.5</v>
      </c>
    </row>
    <row r="449" s="1" customFormat="1" spans="1:6">
      <c r="A449" s="8" t="str">
        <f>"2020891527"</f>
        <v>2020891527</v>
      </c>
      <c r="B449" s="9">
        <v>55</v>
      </c>
      <c r="C449" s="9">
        <f t="shared" si="18"/>
        <v>16.5</v>
      </c>
      <c r="D449" s="10">
        <v>66</v>
      </c>
      <c r="E449" s="9">
        <f t="shared" si="19"/>
        <v>46.2</v>
      </c>
      <c r="F449" s="9">
        <f t="shared" si="20"/>
        <v>62.7</v>
      </c>
    </row>
    <row r="450" s="1" customFormat="1" spans="1:6">
      <c r="A450" s="8" t="str">
        <f>"2020891528"</f>
        <v>2020891528</v>
      </c>
      <c r="B450" s="9">
        <v>68</v>
      </c>
      <c r="C450" s="9">
        <f t="shared" si="18"/>
        <v>20.4</v>
      </c>
      <c r="D450" s="10">
        <v>86</v>
      </c>
      <c r="E450" s="9">
        <f t="shared" si="19"/>
        <v>60.2</v>
      </c>
      <c r="F450" s="9">
        <f t="shared" si="20"/>
        <v>80.6</v>
      </c>
    </row>
    <row r="451" s="1" customFormat="1" spans="1:6">
      <c r="A451" s="8" t="str">
        <f>"2020891529"</f>
        <v>2020891529</v>
      </c>
      <c r="B451" s="9">
        <v>67</v>
      </c>
      <c r="C451" s="9">
        <f t="shared" ref="C451:C514" si="21">B451*0.3</f>
        <v>20.1</v>
      </c>
      <c r="D451" s="10">
        <v>84</v>
      </c>
      <c r="E451" s="9">
        <f t="shared" ref="E451:E514" si="22">D451*0.7</f>
        <v>58.8</v>
      </c>
      <c r="F451" s="9">
        <f t="shared" ref="F451:F514" si="23">C451+E451</f>
        <v>78.9</v>
      </c>
    </row>
    <row r="452" s="1" customFormat="1" spans="1:6">
      <c r="A452" s="8" t="str">
        <f>"2020891530"</f>
        <v>2020891530</v>
      </c>
      <c r="B452" s="9">
        <v>66</v>
      </c>
      <c r="C452" s="9">
        <f t="shared" si="21"/>
        <v>19.8</v>
      </c>
      <c r="D452" s="10">
        <v>84</v>
      </c>
      <c r="E452" s="9">
        <f t="shared" si="22"/>
        <v>58.8</v>
      </c>
      <c r="F452" s="9">
        <f t="shared" si="23"/>
        <v>78.6</v>
      </c>
    </row>
    <row r="453" s="1" customFormat="1" spans="1:6">
      <c r="A453" s="8" t="str">
        <f>"2020891601"</f>
        <v>2020891601</v>
      </c>
      <c r="B453" s="9">
        <v>68</v>
      </c>
      <c r="C453" s="9">
        <f t="shared" si="21"/>
        <v>20.4</v>
      </c>
      <c r="D453" s="10">
        <v>86</v>
      </c>
      <c r="E453" s="9">
        <f t="shared" si="22"/>
        <v>60.2</v>
      </c>
      <c r="F453" s="9">
        <f t="shared" si="23"/>
        <v>80.6</v>
      </c>
    </row>
    <row r="454" s="1" customFormat="1" spans="1:6">
      <c r="A454" s="8" t="str">
        <f>"2020891602"</f>
        <v>2020891602</v>
      </c>
      <c r="B454" s="9">
        <v>53</v>
      </c>
      <c r="C454" s="9">
        <f t="shared" si="21"/>
        <v>15.9</v>
      </c>
      <c r="D454" s="10">
        <v>84</v>
      </c>
      <c r="E454" s="9">
        <f t="shared" si="22"/>
        <v>58.8</v>
      </c>
      <c r="F454" s="9">
        <f t="shared" si="23"/>
        <v>74.7</v>
      </c>
    </row>
    <row r="455" s="1" customFormat="1" spans="1:6">
      <c r="A455" s="8" t="str">
        <f>"2020891603"</f>
        <v>2020891603</v>
      </c>
      <c r="B455" s="9">
        <v>0</v>
      </c>
      <c r="C455" s="9">
        <f t="shared" si="21"/>
        <v>0</v>
      </c>
      <c r="D455" s="10">
        <v>0</v>
      </c>
      <c r="E455" s="9">
        <f t="shared" si="22"/>
        <v>0</v>
      </c>
      <c r="F455" s="9">
        <f t="shared" si="23"/>
        <v>0</v>
      </c>
    </row>
    <row r="456" s="1" customFormat="1" spans="1:6">
      <c r="A456" s="8" t="str">
        <f>"2020891604"</f>
        <v>2020891604</v>
      </c>
      <c r="B456" s="9">
        <v>0</v>
      </c>
      <c r="C456" s="9">
        <f t="shared" si="21"/>
        <v>0</v>
      </c>
      <c r="D456" s="10">
        <v>0</v>
      </c>
      <c r="E456" s="9">
        <f t="shared" si="22"/>
        <v>0</v>
      </c>
      <c r="F456" s="9">
        <f t="shared" si="23"/>
        <v>0</v>
      </c>
    </row>
    <row r="457" s="1" customFormat="1" spans="1:6">
      <c r="A457" s="8" t="str">
        <f>"2020891605"</f>
        <v>2020891605</v>
      </c>
      <c r="B457" s="9">
        <v>76</v>
      </c>
      <c r="C457" s="9">
        <f t="shared" si="21"/>
        <v>22.8</v>
      </c>
      <c r="D457" s="10">
        <v>88</v>
      </c>
      <c r="E457" s="9">
        <f t="shared" si="22"/>
        <v>61.6</v>
      </c>
      <c r="F457" s="9">
        <f t="shared" si="23"/>
        <v>84.4</v>
      </c>
    </row>
    <row r="458" s="1" customFormat="1" spans="1:6">
      <c r="A458" s="8" t="str">
        <f>"2020891606"</f>
        <v>2020891606</v>
      </c>
      <c r="B458" s="9">
        <v>57</v>
      </c>
      <c r="C458" s="9">
        <f t="shared" si="21"/>
        <v>17.1</v>
      </c>
      <c r="D458" s="10">
        <v>72</v>
      </c>
      <c r="E458" s="9">
        <f t="shared" si="22"/>
        <v>50.4</v>
      </c>
      <c r="F458" s="9">
        <f t="shared" si="23"/>
        <v>67.5</v>
      </c>
    </row>
    <row r="459" s="1" customFormat="1" spans="1:6">
      <c r="A459" s="8" t="str">
        <f>"2020891607"</f>
        <v>2020891607</v>
      </c>
      <c r="B459" s="9">
        <v>0</v>
      </c>
      <c r="C459" s="9">
        <f t="shared" si="21"/>
        <v>0</v>
      </c>
      <c r="D459" s="10">
        <v>0</v>
      </c>
      <c r="E459" s="9">
        <f t="shared" si="22"/>
        <v>0</v>
      </c>
      <c r="F459" s="9">
        <f t="shared" si="23"/>
        <v>0</v>
      </c>
    </row>
    <row r="460" s="1" customFormat="1" spans="1:6">
      <c r="A460" s="8" t="str">
        <f>"2020891608"</f>
        <v>2020891608</v>
      </c>
      <c r="B460" s="9">
        <v>67</v>
      </c>
      <c r="C460" s="9">
        <f t="shared" si="21"/>
        <v>20.1</v>
      </c>
      <c r="D460" s="10">
        <v>63</v>
      </c>
      <c r="E460" s="9">
        <f t="shared" si="22"/>
        <v>44.1</v>
      </c>
      <c r="F460" s="9">
        <f t="shared" si="23"/>
        <v>64.2</v>
      </c>
    </row>
    <row r="461" s="1" customFormat="1" spans="1:6">
      <c r="A461" s="8" t="str">
        <f>"2020891609"</f>
        <v>2020891609</v>
      </c>
      <c r="B461" s="9">
        <v>60</v>
      </c>
      <c r="C461" s="9">
        <f t="shared" si="21"/>
        <v>18</v>
      </c>
      <c r="D461" s="10">
        <v>68</v>
      </c>
      <c r="E461" s="9">
        <f t="shared" si="22"/>
        <v>47.6</v>
      </c>
      <c r="F461" s="9">
        <f t="shared" si="23"/>
        <v>65.6</v>
      </c>
    </row>
    <row r="462" s="1" customFormat="1" spans="1:6">
      <c r="A462" s="8" t="str">
        <f>"2020891610"</f>
        <v>2020891610</v>
      </c>
      <c r="B462" s="9">
        <v>52</v>
      </c>
      <c r="C462" s="9">
        <f t="shared" si="21"/>
        <v>15.6</v>
      </c>
      <c r="D462" s="10">
        <v>86</v>
      </c>
      <c r="E462" s="9">
        <f t="shared" si="22"/>
        <v>60.2</v>
      </c>
      <c r="F462" s="9">
        <f t="shared" si="23"/>
        <v>75.8</v>
      </c>
    </row>
    <row r="463" s="1" customFormat="1" spans="1:6">
      <c r="A463" s="8" t="str">
        <f>"2020891611"</f>
        <v>2020891611</v>
      </c>
      <c r="B463" s="9">
        <v>0</v>
      </c>
      <c r="C463" s="9">
        <f t="shared" si="21"/>
        <v>0</v>
      </c>
      <c r="D463" s="10">
        <v>0</v>
      </c>
      <c r="E463" s="9">
        <f t="shared" si="22"/>
        <v>0</v>
      </c>
      <c r="F463" s="9">
        <f t="shared" si="23"/>
        <v>0</v>
      </c>
    </row>
    <row r="464" s="1" customFormat="1" spans="1:6">
      <c r="A464" s="8" t="str">
        <f>"2020891612"</f>
        <v>2020891612</v>
      </c>
      <c r="B464" s="9">
        <v>57</v>
      </c>
      <c r="C464" s="9">
        <f t="shared" si="21"/>
        <v>17.1</v>
      </c>
      <c r="D464" s="10">
        <v>71</v>
      </c>
      <c r="E464" s="9">
        <f t="shared" si="22"/>
        <v>49.7</v>
      </c>
      <c r="F464" s="9">
        <f t="shared" si="23"/>
        <v>66.8</v>
      </c>
    </row>
    <row r="465" s="1" customFormat="1" spans="1:6">
      <c r="A465" s="8" t="str">
        <f>"2020891613"</f>
        <v>2020891613</v>
      </c>
      <c r="B465" s="9">
        <v>0</v>
      </c>
      <c r="C465" s="9">
        <f t="shared" si="21"/>
        <v>0</v>
      </c>
      <c r="D465" s="10">
        <v>0</v>
      </c>
      <c r="E465" s="9">
        <f t="shared" si="22"/>
        <v>0</v>
      </c>
      <c r="F465" s="9">
        <f t="shared" si="23"/>
        <v>0</v>
      </c>
    </row>
    <row r="466" s="1" customFormat="1" spans="1:6">
      <c r="A466" s="8" t="str">
        <f>"2020891614"</f>
        <v>2020891614</v>
      </c>
      <c r="B466" s="9">
        <v>56</v>
      </c>
      <c r="C466" s="9">
        <f t="shared" si="21"/>
        <v>16.8</v>
      </c>
      <c r="D466" s="10">
        <v>87</v>
      </c>
      <c r="E466" s="9">
        <f t="shared" si="22"/>
        <v>60.9</v>
      </c>
      <c r="F466" s="9">
        <f t="shared" si="23"/>
        <v>77.7</v>
      </c>
    </row>
    <row r="467" s="1" customFormat="1" spans="1:6">
      <c r="A467" s="8" t="str">
        <f>"2020891615"</f>
        <v>2020891615</v>
      </c>
      <c r="B467" s="9">
        <v>75</v>
      </c>
      <c r="C467" s="9">
        <f t="shared" si="21"/>
        <v>22.5</v>
      </c>
      <c r="D467" s="10">
        <v>71</v>
      </c>
      <c r="E467" s="9">
        <f t="shared" si="22"/>
        <v>49.7</v>
      </c>
      <c r="F467" s="9">
        <f t="shared" si="23"/>
        <v>72.2</v>
      </c>
    </row>
    <row r="468" s="1" customFormat="1" spans="1:6">
      <c r="A468" s="8" t="str">
        <f>"2020891616"</f>
        <v>2020891616</v>
      </c>
      <c r="B468" s="9">
        <v>69</v>
      </c>
      <c r="C468" s="9">
        <f t="shared" si="21"/>
        <v>20.7</v>
      </c>
      <c r="D468" s="10">
        <v>90</v>
      </c>
      <c r="E468" s="9">
        <f t="shared" si="22"/>
        <v>63</v>
      </c>
      <c r="F468" s="9">
        <f t="shared" si="23"/>
        <v>83.7</v>
      </c>
    </row>
    <row r="469" s="1" customFormat="1" spans="1:6">
      <c r="A469" s="8" t="str">
        <f>"2020891617"</f>
        <v>2020891617</v>
      </c>
      <c r="B469" s="9">
        <v>68</v>
      </c>
      <c r="C469" s="9">
        <f t="shared" si="21"/>
        <v>20.4</v>
      </c>
      <c r="D469" s="10">
        <v>81</v>
      </c>
      <c r="E469" s="9">
        <f t="shared" si="22"/>
        <v>56.7</v>
      </c>
      <c r="F469" s="9">
        <f t="shared" si="23"/>
        <v>77.1</v>
      </c>
    </row>
    <row r="470" s="1" customFormat="1" spans="1:6">
      <c r="A470" s="8" t="str">
        <f>"2020891618"</f>
        <v>2020891618</v>
      </c>
      <c r="B470" s="9">
        <v>69</v>
      </c>
      <c r="C470" s="9">
        <f t="shared" si="21"/>
        <v>20.7</v>
      </c>
      <c r="D470" s="10">
        <v>71</v>
      </c>
      <c r="E470" s="9">
        <f t="shared" si="22"/>
        <v>49.7</v>
      </c>
      <c r="F470" s="9">
        <f t="shared" si="23"/>
        <v>70.4</v>
      </c>
    </row>
    <row r="471" s="1" customFormat="1" spans="1:6">
      <c r="A471" s="8" t="str">
        <f>"2020891619"</f>
        <v>2020891619</v>
      </c>
      <c r="B471" s="9">
        <v>71</v>
      </c>
      <c r="C471" s="9">
        <f t="shared" si="21"/>
        <v>21.3</v>
      </c>
      <c r="D471" s="10">
        <v>87</v>
      </c>
      <c r="E471" s="9">
        <f t="shared" si="22"/>
        <v>60.9</v>
      </c>
      <c r="F471" s="9">
        <f t="shared" si="23"/>
        <v>82.2</v>
      </c>
    </row>
    <row r="472" s="1" customFormat="1" spans="1:6">
      <c r="A472" s="8" t="str">
        <f>"2020891620"</f>
        <v>2020891620</v>
      </c>
      <c r="B472" s="9">
        <v>69</v>
      </c>
      <c r="C472" s="9">
        <f t="shared" si="21"/>
        <v>20.7</v>
      </c>
      <c r="D472" s="10">
        <v>93</v>
      </c>
      <c r="E472" s="9">
        <f t="shared" si="22"/>
        <v>65.1</v>
      </c>
      <c r="F472" s="9">
        <f t="shared" si="23"/>
        <v>85.8</v>
      </c>
    </row>
    <row r="473" s="1" customFormat="1" spans="1:6">
      <c r="A473" s="8" t="str">
        <f>"2020891621"</f>
        <v>2020891621</v>
      </c>
      <c r="B473" s="9">
        <v>70</v>
      </c>
      <c r="C473" s="9">
        <f t="shared" si="21"/>
        <v>21</v>
      </c>
      <c r="D473" s="10">
        <v>81</v>
      </c>
      <c r="E473" s="9">
        <f t="shared" si="22"/>
        <v>56.7</v>
      </c>
      <c r="F473" s="9">
        <f t="shared" si="23"/>
        <v>77.7</v>
      </c>
    </row>
    <row r="474" s="1" customFormat="1" spans="1:6">
      <c r="A474" s="8" t="str">
        <f>"2020891622"</f>
        <v>2020891622</v>
      </c>
      <c r="B474" s="9">
        <v>70</v>
      </c>
      <c r="C474" s="9">
        <f t="shared" si="21"/>
        <v>21</v>
      </c>
      <c r="D474" s="10">
        <v>86</v>
      </c>
      <c r="E474" s="9">
        <f t="shared" si="22"/>
        <v>60.2</v>
      </c>
      <c r="F474" s="9">
        <f t="shared" si="23"/>
        <v>81.2</v>
      </c>
    </row>
    <row r="475" s="1" customFormat="1" spans="1:6">
      <c r="A475" s="8" t="str">
        <f>"2020891623"</f>
        <v>2020891623</v>
      </c>
      <c r="B475" s="9">
        <v>0</v>
      </c>
      <c r="C475" s="9">
        <f t="shared" si="21"/>
        <v>0</v>
      </c>
      <c r="D475" s="10">
        <v>0</v>
      </c>
      <c r="E475" s="9">
        <f t="shared" si="22"/>
        <v>0</v>
      </c>
      <c r="F475" s="9">
        <f t="shared" si="23"/>
        <v>0</v>
      </c>
    </row>
    <row r="476" s="1" customFormat="1" spans="1:6">
      <c r="A476" s="8" t="str">
        <f>"2020891624"</f>
        <v>2020891624</v>
      </c>
      <c r="B476" s="9">
        <v>0</v>
      </c>
      <c r="C476" s="9">
        <f t="shared" si="21"/>
        <v>0</v>
      </c>
      <c r="D476" s="10">
        <v>0</v>
      </c>
      <c r="E476" s="9">
        <f t="shared" si="22"/>
        <v>0</v>
      </c>
      <c r="F476" s="9">
        <f t="shared" si="23"/>
        <v>0</v>
      </c>
    </row>
    <row r="477" s="1" customFormat="1" spans="1:6">
      <c r="A477" s="8" t="str">
        <f>"2020891625"</f>
        <v>2020891625</v>
      </c>
      <c r="B477" s="9">
        <v>0</v>
      </c>
      <c r="C477" s="9">
        <f t="shared" si="21"/>
        <v>0</v>
      </c>
      <c r="D477" s="10">
        <v>0</v>
      </c>
      <c r="E477" s="9">
        <f t="shared" si="22"/>
        <v>0</v>
      </c>
      <c r="F477" s="9">
        <f t="shared" si="23"/>
        <v>0</v>
      </c>
    </row>
    <row r="478" s="1" customFormat="1" spans="1:6">
      <c r="A478" s="8" t="str">
        <f>"2020891626"</f>
        <v>2020891626</v>
      </c>
      <c r="B478" s="9">
        <v>62</v>
      </c>
      <c r="C478" s="9">
        <f t="shared" si="21"/>
        <v>18.6</v>
      </c>
      <c r="D478" s="10">
        <v>89</v>
      </c>
      <c r="E478" s="9">
        <f t="shared" si="22"/>
        <v>62.3</v>
      </c>
      <c r="F478" s="9">
        <f t="shared" si="23"/>
        <v>80.9</v>
      </c>
    </row>
    <row r="479" s="1" customFormat="1" spans="1:6">
      <c r="A479" s="8" t="str">
        <f>"2020891627"</f>
        <v>2020891627</v>
      </c>
      <c r="B479" s="9">
        <v>64</v>
      </c>
      <c r="C479" s="9">
        <f t="shared" si="21"/>
        <v>19.2</v>
      </c>
      <c r="D479" s="10">
        <v>71</v>
      </c>
      <c r="E479" s="9">
        <f t="shared" si="22"/>
        <v>49.7</v>
      </c>
      <c r="F479" s="9">
        <f t="shared" si="23"/>
        <v>68.9</v>
      </c>
    </row>
    <row r="480" s="1" customFormat="1" spans="1:6">
      <c r="A480" s="8" t="str">
        <f>"2020891628"</f>
        <v>2020891628</v>
      </c>
      <c r="B480" s="9">
        <v>48</v>
      </c>
      <c r="C480" s="9">
        <f t="shared" si="21"/>
        <v>14.4</v>
      </c>
      <c r="D480" s="10">
        <v>80</v>
      </c>
      <c r="E480" s="9">
        <f t="shared" si="22"/>
        <v>56</v>
      </c>
      <c r="F480" s="9">
        <f t="shared" si="23"/>
        <v>70.4</v>
      </c>
    </row>
    <row r="481" s="1" customFormat="1" spans="1:6">
      <c r="A481" s="8" t="str">
        <f>"2020891629"</f>
        <v>2020891629</v>
      </c>
      <c r="B481" s="9">
        <v>52</v>
      </c>
      <c r="C481" s="9">
        <f t="shared" si="21"/>
        <v>15.6</v>
      </c>
      <c r="D481" s="10">
        <v>92</v>
      </c>
      <c r="E481" s="9">
        <f t="shared" si="22"/>
        <v>64.4</v>
      </c>
      <c r="F481" s="9">
        <f t="shared" si="23"/>
        <v>80</v>
      </c>
    </row>
    <row r="482" s="1" customFormat="1" spans="1:6">
      <c r="A482" s="8" t="str">
        <f>"2020891630"</f>
        <v>2020891630</v>
      </c>
      <c r="B482" s="9">
        <v>53</v>
      </c>
      <c r="C482" s="9">
        <f t="shared" si="21"/>
        <v>15.9</v>
      </c>
      <c r="D482" s="10">
        <v>74</v>
      </c>
      <c r="E482" s="9">
        <f t="shared" si="22"/>
        <v>51.8</v>
      </c>
      <c r="F482" s="9">
        <f t="shared" si="23"/>
        <v>67.7</v>
      </c>
    </row>
    <row r="483" s="1" customFormat="1" spans="1:6">
      <c r="A483" s="8" t="str">
        <f>"2020891701"</f>
        <v>2020891701</v>
      </c>
      <c r="B483" s="9">
        <v>0</v>
      </c>
      <c r="C483" s="9">
        <f t="shared" si="21"/>
        <v>0</v>
      </c>
      <c r="D483" s="10">
        <v>0</v>
      </c>
      <c r="E483" s="9">
        <f t="shared" si="22"/>
        <v>0</v>
      </c>
      <c r="F483" s="9">
        <f t="shared" si="23"/>
        <v>0</v>
      </c>
    </row>
    <row r="484" s="1" customFormat="1" spans="1:6">
      <c r="A484" s="8" t="str">
        <f>"2020891702"</f>
        <v>2020891702</v>
      </c>
      <c r="B484" s="9">
        <v>78</v>
      </c>
      <c r="C484" s="9">
        <f t="shared" si="21"/>
        <v>23.4</v>
      </c>
      <c r="D484" s="10">
        <v>79</v>
      </c>
      <c r="E484" s="9">
        <f t="shared" si="22"/>
        <v>55.3</v>
      </c>
      <c r="F484" s="9">
        <f t="shared" si="23"/>
        <v>78.7</v>
      </c>
    </row>
    <row r="485" s="1" customFormat="1" spans="1:6">
      <c r="A485" s="8" t="str">
        <f>"2020891703"</f>
        <v>2020891703</v>
      </c>
      <c r="B485" s="9">
        <v>0</v>
      </c>
      <c r="C485" s="9">
        <f t="shared" si="21"/>
        <v>0</v>
      </c>
      <c r="D485" s="10">
        <v>0</v>
      </c>
      <c r="E485" s="9">
        <f t="shared" si="22"/>
        <v>0</v>
      </c>
      <c r="F485" s="9">
        <f t="shared" si="23"/>
        <v>0</v>
      </c>
    </row>
    <row r="486" s="1" customFormat="1" spans="1:6">
      <c r="A486" s="8" t="str">
        <f>"2020891704"</f>
        <v>2020891704</v>
      </c>
      <c r="B486" s="9">
        <v>39</v>
      </c>
      <c r="C486" s="9">
        <f t="shared" si="21"/>
        <v>11.7</v>
      </c>
      <c r="D486" s="10">
        <v>70</v>
      </c>
      <c r="E486" s="9">
        <f t="shared" si="22"/>
        <v>49</v>
      </c>
      <c r="F486" s="9">
        <f t="shared" si="23"/>
        <v>60.7</v>
      </c>
    </row>
    <row r="487" s="1" customFormat="1" spans="1:6">
      <c r="A487" s="8" t="str">
        <f>"2020891705"</f>
        <v>2020891705</v>
      </c>
      <c r="B487" s="9">
        <v>59</v>
      </c>
      <c r="C487" s="9">
        <f t="shared" si="21"/>
        <v>17.7</v>
      </c>
      <c r="D487" s="10">
        <v>62</v>
      </c>
      <c r="E487" s="9">
        <f t="shared" si="22"/>
        <v>43.4</v>
      </c>
      <c r="F487" s="9">
        <f t="shared" si="23"/>
        <v>61.1</v>
      </c>
    </row>
    <row r="488" s="1" customFormat="1" spans="1:6">
      <c r="A488" s="8" t="str">
        <f>"2020891706"</f>
        <v>2020891706</v>
      </c>
      <c r="B488" s="9">
        <v>72</v>
      </c>
      <c r="C488" s="9">
        <f t="shared" si="21"/>
        <v>21.6</v>
      </c>
      <c r="D488" s="10">
        <v>73</v>
      </c>
      <c r="E488" s="9">
        <f t="shared" si="22"/>
        <v>51.1</v>
      </c>
      <c r="F488" s="9">
        <f t="shared" si="23"/>
        <v>72.7</v>
      </c>
    </row>
    <row r="489" s="1" customFormat="1" spans="1:6">
      <c r="A489" s="8" t="str">
        <f>"2020891707"</f>
        <v>2020891707</v>
      </c>
      <c r="B489" s="9">
        <v>62</v>
      </c>
      <c r="C489" s="9">
        <f t="shared" si="21"/>
        <v>18.6</v>
      </c>
      <c r="D489" s="10">
        <v>79</v>
      </c>
      <c r="E489" s="9">
        <f t="shared" si="22"/>
        <v>55.3</v>
      </c>
      <c r="F489" s="9">
        <f t="shared" si="23"/>
        <v>73.9</v>
      </c>
    </row>
    <row r="490" s="1" customFormat="1" spans="1:6">
      <c r="A490" s="8" t="str">
        <f>"2020891708"</f>
        <v>2020891708</v>
      </c>
      <c r="B490" s="9">
        <v>0</v>
      </c>
      <c r="C490" s="9">
        <f t="shared" si="21"/>
        <v>0</v>
      </c>
      <c r="D490" s="10">
        <v>0</v>
      </c>
      <c r="E490" s="9">
        <f t="shared" si="22"/>
        <v>0</v>
      </c>
      <c r="F490" s="9">
        <f t="shared" si="23"/>
        <v>0</v>
      </c>
    </row>
    <row r="491" s="1" customFormat="1" spans="1:6">
      <c r="A491" s="8" t="str">
        <f>"2020891709"</f>
        <v>2020891709</v>
      </c>
      <c r="B491" s="9">
        <v>72</v>
      </c>
      <c r="C491" s="9">
        <f t="shared" si="21"/>
        <v>21.6</v>
      </c>
      <c r="D491" s="10">
        <v>76</v>
      </c>
      <c r="E491" s="9">
        <f t="shared" si="22"/>
        <v>53.2</v>
      </c>
      <c r="F491" s="9">
        <f t="shared" si="23"/>
        <v>74.8</v>
      </c>
    </row>
    <row r="492" s="1" customFormat="1" spans="1:6">
      <c r="A492" s="8" t="str">
        <f>"2020891710"</f>
        <v>2020891710</v>
      </c>
      <c r="B492" s="9">
        <v>0</v>
      </c>
      <c r="C492" s="9">
        <f t="shared" si="21"/>
        <v>0</v>
      </c>
      <c r="D492" s="10">
        <v>0</v>
      </c>
      <c r="E492" s="9">
        <f t="shared" si="22"/>
        <v>0</v>
      </c>
      <c r="F492" s="9">
        <f t="shared" si="23"/>
        <v>0</v>
      </c>
    </row>
    <row r="493" s="1" customFormat="1" spans="1:6">
      <c r="A493" s="8" t="str">
        <f>"2020891711"</f>
        <v>2020891711</v>
      </c>
      <c r="B493" s="9">
        <v>67</v>
      </c>
      <c r="C493" s="9">
        <f t="shared" si="21"/>
        <v>20.1</v>
      </c>
      <c r="D493" s="10">
        <v>78</v>
      </c>
      <c r="E493" s="9">
        <f t="shared" si="22"/>
        <v>54.6</v>
      </c>
      <c r="F493" s="9">
        <f t="shared" si="23"/>
        <v>74.7</v>
      </c>
    </row>
    <row r="494" s="1" customFormat="1" spans="1:6">
      <c r="A494" s="8" t="str">
        <f>"2020891712"</f>
        <v>2020891712</v>
      </c>
      <c r="B494" s="9">
        <v>78</v>
      </c>
      <c r="C494" s="9">
        <f t="shared" si="21"/>
        <v>23.4</v>
      </c>
      <c r="D494" s="10">
        <v>64</v>
      </c>
      <c r="E494" s="9">
        <f t="shared" si="22"/>
        <v>44.8</v>
      </c>
      <c r="F494" s="9">
        <f t="shared" si="23"/>
        <v>68.2</v>
      </c>
    </row>
    <row r="495" s="1" customFormat="1" spans="1:6">
      <c r="A495" s="8" t="str">
        <f>"2020891713"</f>
        <v>2020891713</v>
      </c>
      <c r="B495" s="9">
        <v>65</v>
      </c>
      <c r="C495" s="9">
        <f t="shared" si="21"/>
        <v>19.5</v>
      </c>
      <c r="D495" s="10">
        <v>88</v>
      </c>
      <c r="E495" s="9">
        <f t="shared" si="22"/>
        <v>61.6</v>
      </c>
      <c r="F495" s="9">
        <f t="shared" si="23"/>
        <v>81.1</v>
      </c>
    </row>
    <row r="496" s="1" customFormat="1" spans="1:6">
      <c r="A496" s="8" t="str">
        <f>"2020891714"</f>
        <v>2020891714</v>
      </c>
      <c r="B496" s="9">
        <v>71</v>
      </c>
      <c r="C496" s="9">
        <f t="shared" si="21"/>
        <v>21.3</v>
      </c>
      <c r="D496" s="10">
        <v>82</v>
      </c>
      <c r="E496" s="9">
        <f t="shared" si="22"/>
        <v>57.4</v>
      </c>
      <c r="F496" s="9">
        <f t="shared" si="23"/>
        <v>78.7</v>
      </c>
    </row>
    <row r="497" s="1" customFormat="1" spans="1:6">
      <c r="A497" s="8" t="str">
        <f>"2020891715"</f>
        <v>2020891715</v>
      </c>
      <c r="B497" s="9">
        <v>67</v>
      </c>
      <c r="C497" s="9">
        <f t="shared" si="21"/>
        <v>20.1</v>
      </c>
      <c r="D497" s="10">
        <v>72</v>
      </c>
      <c r="E497" s="9">
        <f t="shared" si="22"/>
        <v>50.4</v>
      </c>
      <c r="F497" s="9">
        <f t="shared" si="23"/>
        <v>70.5</v>
      </c>
    </row>
    <row r="498" s="1" customFormat="1" spans="1:6">
      <c r="A498" s="8" t="str">
        <f>"2020891716"</f>
        <v>2020891716</v>
      </c>
      <c r="B498" s="9">
        <v>56</v>
      </c>
      <c r="C498" s="9">
        <f t="shared" si="21"/>
        <v>16.8</v>
      </c>
      <c r="D498" s="10">
        <v>73</v>
      </c>
      <c r="E498" s="9">
        <f t="shared" si="22"/>
        <v>51.1</v>
      </c>
      <c r="F498" s="9">
        <f t="shared" si="23"/>
        <v>67.9</v>
      </c>
    </row>
    <row r="499" s="1" customFormat="1" spans="1:6">
      <c r="A499" s="8" t="str">
        <f>"2020891717"</f>
        <v>2020891717</v>
      </c>
      <c r="B499" s="9">
        <v>65</v>
      </c>
      <c r="C499" s="9">
        <f t="shared" si="21"/>
        <v>19.5</v>
      </c>
      <c r="D499" s="10">
        <v>73</v>
      </c>
      <c r="E499" s="9">
        <f t="shared" si="22"/>
        <v>51.1</v>
      </c>
      <c r="F499" s="9">
        <f t="shared" si="23"/>
        <v>70.6</v>
      </c>
    </row>
    <row r="500" s="1" customFormat="1" spans="1:6">
      <c r="A500" s="8" t="str">
        <f>"2020891718"</f>
        <v>2020891718</v>
      </c>
      <c r="B500" s="9">
        <v>0</v>
      </c>
      <c r="C500" s="9">
        <f t="shared" si="21"/>
        <v>0</v>
      </c>
      <c r="D500" s="10">
        <v>0</v>
      </c>
      <c r="E500" s="9">
        <f t="shared" si="22"/>
        <v>0</v>
      </c>
      <c r="F500" s="9">
        <f t="shared" si="23"/>
        <v>0</v>
      </c>
    </row>
    <row r="501" s="1" customFormat="1" spans="1:6">
      <c r="A501" s="8" t="str">
        <f>"2020891719"</f>
        <v>2020891719</v>
      </c>
      <c r="B501" s="9">
        <v>67</v>
      </c>
      <c r="C501" s="9">
        <f t="shared" si="21"/>
        <v>20.1</v>
      </c>
      <c r="D501" s="10">
        <v>73</v>
      </c>
      <c r="E501" s="9">
        <f t="shared" si="22"/>
        <v>51.1</v>
      </c>
      <c r="F501" s="9">
        <f t="shared" si="23"/>
        <v>71.2</v>
      </c>
    </row>
    <row r="502" s="1" customFormat="1" spans="1:6">
      <c r="A502" s="8" t="str">
        <f>"2020891720"</f>
        <v>2020891720</v>
      </c>
      <c r="B502" s="9">
        <v>61</v>
      </c>
      <c r="C502" s="9">
        <f t="shared" si="21"/>
        <v>18.3</v>
      </c>
      <c r="D502" s="10">
        <v>93</v>
      </c>
      <c r="E502" s="9">
        <f t="shared" si="22"/>
        <v>65.1</v>
      </c>
      <c r="F502" s="9">
        <f t="shared" si="23"/>
        <v>83.4</v>
      </c>
    </row>
    <row r="503" s="1" customFormat="1" spans="1:6">
      <c r="A503" s="8" t="str">
        <f>"2020891721"</f>
        <v>2020891721</v>
      </c>
      <c r="B503" s="9">
        <v>65</v>
      </c>
      <c r="C503" s="9">
        <f t="shared" si="21"/>
        <v>19.5</v>
      </c>
      <c r="D503" s="10">
        <v>78</v>
      </c>
      <c r="E503" s="9">
        <f t="shared" si="22"/>
        <v>54.6</v>
      </c>
      <c r="F503" s="9">
        <f t="shared" si="23"/>
        <v>74.1</v>
      </c>
    </row>
    <row r="504" s="1" customFormat="1" spans="1:6">
      <c r="A504" s="8" t="str">
        <f>"2020891722"</f>
        <v>2020891722</v>
      </c>
      <c r="B504" s="9">
        <v>75</v>
      </c>
      <c r="C504" s="9">
        <f t="shared" si="21"/>
        <v>22.5</v>
      </c>
      <c r="D504" s="10">
        <v>83</v>
      </c>
      <c r="E504" s="9">
        <f t="shared" si="22"/>
        <v>58.1</v>
      </c>
      <c r="F504" s="9">
        <f t="shared" si="23"/>
        <v>80.6</v>
      </c>
    </row>
    <row r="505" s="1" customFormat="1" spans="1:6">
      <c r="A505" s="8" t="str">
        <f>"2020891723"</f>
        <v>2020891723</v>
      </c>
      <c r="B505" s="9">
        <v>0</v>
      </c>
      <c r="C505" s="9">
        <f t="shared" si="21"/>
        <v>0</v>
      </c>
      <c r="D505" s="10">
        <v>0</v>
      </c>
      <c r="E505" s="9">
        <f t="shared" si="22"/>
        <v>0</v>
      </c>
      <c r="F505" s="9">
        <f t="shared" si="23"/>
        <v>0</v>
      </c>
    </row>
    <row r="506" s="1" customFormat="1" spans="1:6">
      <c r="A506" s="8" t="str">
        <f>"2020891724"</f>
        <v>2020891724</v>
      </c>
      <c r="B506" s="9">
        <v>0</v>
      </c>
      <c r="C506" s="9">
        <f t="shared" si="21"/>
        <v>0</v>
      </c>
      <c r="D506" s="10">
        <v>0</v>
      </c>
      <c r="E506" s="9">
        <f t="shared" si="22"/>
        <v>0</v>
      </c>
      <c r="F506" s="9">
        <f t="shared" si="23"/>
        <v>0</v>
      </c>
    </row>
    <row r="507" s="1" customFormat="1" spans="1:6">
      <c r="A507" s="8" t="str">
        <f>"2020891725"</f>
        <v>2020891725</v>
      </c>
      <c r="B507" s="9">
        <v>72</v>
      </c>
      <c r="C507" s="9">
        <f t="shared" si="21"/>
        <v>21.6</v>
      </c>
      <c r="D507" s="10">
        <v>85</v>
      </c>
      <c r="E507" s="9">
        <f t="shared" si="22"/>
        <v>59.5</v>
      </c>
      <c r="F507" s="9">
        <f t="shared" si="23"/>
        <v>81.1</v>
      </c>
    </row>
    <row r="508" s="1" customFormat="1" spans="1:6">
      <c r="A508" s="8" t="str">
        <f>"2020891726"</f>
        <v>2020891726</v>
      </c>
      <c r="B508" s="9">
        <v>0</v>
      </c>
      <c r="C508" s="9">
        <f t="shared" si="21"/>
        <v>0</v>
      </c>
      <c r="D508" s="10">
        <v>0</v>
      </c>
      <c r="E508" s="9">
        <f t="shared" si="22"/>
        <v>0</v>
      </c>
      <c r="F508" s="9">
        <f t="shared" si="23"/>
        <v>0</v>
      </c>
    </row>
    <row r="509" s="1" customFormat="1" spans="1:6">
      <c r="A509" s="8" t="str">
        <f>"2020891727"</f>
        <v>2020891727</v>
      </c>
      <c r="B509" s="9">
        <v>0</v>
      </c>
      <c r="C509" s="9">
        <f t="shared" si="21"/>
        <v>0</v>
      </c>
      <c r="D509" s="10">
        <v>0</v>
      </c>
      <c r="E509" s="9">
        <f t="shared" si="22"/>
        <v>0</v>
      </c>
      <c r="F509" s="9">
        <f t="shared" si="23"/>
        <v>0</v>
      </c>
    </row>
    <row r="510" s="1" customFormat="1" spans="1:6">
      <c r="A510" s="8" t="str">
        <f>"2020891728"</f>
        <v>2020891728</v>
      </c>
      <c r="B510" s="9">
        <v>0</v>
      </c>
      <c r="C510" s="9">
        <f t="shared" si="21"/>
        <v>0</v>
      </c>
      <c r="D510" s="10">
        <v>0</v>
      </c>
      <c r="E510" s="9">
        <f t="shared" si="22"/>
        <v>0</v>
      </c>
      <c r="F510" s="9">
        <f t="shared" si="23"/>
        <v>0</v>
      </c>
    </row>
    <row r="511" s="1" customFormat="1" spans="1:6">
      <c r="A511" s="8" t="str">
        <f>"2020891729"</f>
        <v>2020891729</v>
      </c>
      <c r="B511" s="9">
        <v>0</v>
      </c>
      <c r="C511" s="9">
        <f t="shared" si="21"/>
        <v>0</v>
      </c>
      <c r="D511" s="10">
        <v>0</v>
      </c>
      <c r="E511" s="9">
        <f t="shared" si="22"/>
        <v>0</v>
      </c>
      <c r="F511" s="9">
        <f t="shared" si="23"/>
        <v>0</v>
      </c>
    </row>
    <row r="512" s="1" customFormat="1" spans="1:6">
      <c r="A512" s="8" t="str">
        <f>"2020891730"</f>
        <v>2020891730</v>
      </c>
      <c r="B512" s="9">
        <v>74</v>
      </c>
      <c r="C512" s="9">
        <f t="shared" si="21"/>
        <v>22.2</v>
      </c>
      <c r="D512" s="10">
        <v>87</v>
      </c>
      <c r="E512" s="9">
        <f t="shared" si="22"/>
        <v>60.9</v>
      </c>
      <c r="F512" s="9">
        <f t="shared" si="23"/>
        <v>83.1</v>
      </c>
    </row>
    <row r="513" s="1" customFormat="1" spans="1:6">
      <c r="A513" s="8" t="str">
        <f>"2020891801"</f>
        <v>2020891801</v>
      </c>
      <c r="B513" s="9">
        <v>69</v>
      </c>
      <c r="C513" s="9">
        <f t="shared" si="21"/>
        <v>20.7</v>
      </c>
      <c r="D513" s="10">
        <v>74</v>
      </c>
      <c r="E513" s="9">
        <f t="shared" si="22"/>
        <v>51.8</v>
      </c>
      <c r="F513" s="9">
        <f t="shared" si="23"/>
        <v>72.5</v>
      </c>
    </row>
    <row r="514" s="1" customFormat="1" spans="1:6">
      <c r="A514" s="8" t="str">
        <f>"2020891802"</f>
        <v>2020891802</v>
      </c>
      <c r="B514" s="9">
        <v>74</v>
      </c>
      <c r="C514" s="9">
        <f t="shared" si="21"/>
        <v>22.2</v>
      </c>
      <c r="D514" s="10">
        <v>74</v>
      </c>
      <c r="E514" s="9">
        <f t="shared" si="22"/>
        <v>51.8</v>
      </c>
      <c r="F514" s="9">
        <f t="shared" si="23"/>
        <v>74</v>
      </c>
    </row>
    <row r="515" s="1" customFormat="1" spans="1:6">
      <c r="A515" s="8" t="str">
        <f>"2020891803"</f>
        <v>2020891803</v>
      </c>
      <c r="B515" s="9">
        <v>68</v>
      </c>
      <c r="C515" s="9">
        <f t="shared" ref="C515:C578" si="24">B515*0.3</f>
        <v>20.4</v>
      </c>
      <c r="D515" s="10">
        <v>83</v>
      </c>
      <c r="E515" s="9">
        <f t="shared" ref="E515:E578" si="25">D515*0.7</f>
        <v>58.1</v>
      </c>
      <c r="F515" s="9">
        <f t="shared" ref="F515:F578" si="26">C515+E515</f>
        <v>78.5</v>
      </c>
    </row>
    <row r="516" s="1" customFormat="1" spans="1:6">
      <c r="A516" s="8" t="str">
        <f>"2020891804"</f>
        <v>2020891804</v>
      </c>
      <c r="B516" s="9">
        <v>73</v>
      </c>
      <c r="C516" s="9">
        <f t="shared" si="24"/>
        <v>21.9</v>
      </c>
      <c r="D516" s="10">
        <v>83</v>
      </c>
      <c r="E516" s="9">
        <f t="shared" si="25"/>
        <v>58.1</v>
      </c>
      <c r="F516" s="9">
        <f t="shared" si="26"/>
        <v>80</v>
      </c>
    </row>
    <row r="517" s="1" customFormat="1" spans="1:6">
      <c r="A517" s="8" t="str">
        <f>"2020891805"</f>
        <v>2020891805</v>
      </c>
      <c r="B517" s="9">
        <v>58</v>
      </c>
      <c r="C517" s="9">
        <f t="shared" si="24"/>
        <v>17.4</v>
      </c>
      <c r="D517" s="10">
        <v>67</v>
      </c>
      <c r="E517" s="9">
        <f t="shared" si="25"/>
        <v>46.9</v>
      </c>
      <c r="F517" s="9">
        <f t="shared" si="26"/>
        <v>64.3</v>
      </c>
    </row>
    <row r="518" s="1" customFormat="1" spans="1:6">
      <c r="A518" s="8" t="str">
        <f>"2020891806"</f>
        <v>2020891806</v>
      </c>
      <c r="B518" s="9">
        <v>58</v>
      </c>
      <c r="C518" s="9">
        <f t="shared" si="24"/>
        <v>17.4</v>
      </c>
      <c r="D518" s="10">
        <v>74</v>
      </c>
      <c r="E518" s="9">
        <f t="shared" si="25"/>
        <v>51.8</v>
      </c>
      <c r="F518" s="9">
        <f t="shared" si="26"/>
        <v>69.2</v>
      </c>
    </row>
    <row r="519" s="1" customFormat="1" spans="1:6">
      <c r="A519" s="8" t="str">
        <f>"2020891807"</f>
        <v>2020891807</v>
      </c>
      <c r="B519" s="9">
        <v>73</v>
      </c>
      <c r="C519" s="9">
        <f t="shared" si="24"/>
        <v>21.9</v>
      </c>
      <c r="D519" s="10">
        <v>62</v>
      </c>
      <c r="E519" s="9">
        <f t="shared" si="25"/>
        <v>43.4</v>
      </c>
      <c r="F519" s="9">
        <f t="shared" si="26"/>
        <v>65.3</v>
      </c>
    </row>
    <row r="520" s="1" customFormat="1" spans="1:6">
      <c r="A520" s="8" t="str">
        <f>"2020891808"</f>
        <v>2020891808</v>
      </c>
      <c r="B520" s="9">
        <v>73</v>
      </c>
      <c r="C520" s="9">
        <f t="shared" si="24"/>
        <v>21.9</v>
      </c>
      <c r="D520" s="10">
        <v>80</v>
      </c>
      <c r="E520" s="9">
        <f t="shared" si="25"/>
        <v>56</v>
      </c>
      <c r="F520" s="9">
        <f t="shared" si="26"/>
        <v>77.9</v>
      </c>
    </row>
    <row r="521" s="1" customFormat="1" spans="1:6">
      <c r="A521" s="8" t="str">
        <f>"2020891809"</f>
        <v>2020891809</v>
      </c>
      <c r="B521" s="9">
        <v>74</v>
      </c>
      <c r="C521" s="9">
        <f t="shared" si="24"/>
        <v>22.2</v>
      </c>
      <c r="D521" s="10">
        <v>65</v>
      </c>
      <c r="E521" s="9">
        <f t="shared" si="25"/>
        <v>45.5</v>
      </c>
      <c r="F521" s="9">
        <f t="shared" si="26"/>
        <v>67.7</v>
      </c>
    </row>
    <row r="522" s="1" customFormat="1" spans="1:6">
      <c r="A522" s="8" t="str">
        <f>"2020891810"</f>
        <v>2020891810</v>
      </c>
      <c r="B522" s="9">
        <v>0</v>
      </c>
      <c r="C522" s="9">
        <f t="shared" si="24"/>
        <v>0</v>
      </c>
      <c r="D522" s="10">
        <v>0</v>
      </c>
      <c r="E522" s="9">
        <f t="shared" si="25"/>
        <v>0</v>
      </c>
      <c r="F522" s="9">
        <f t="shared" si="26"/>
        <v>0</v>
      </c>
    </row>
    <row r="523" s="1" customFormat="1" spans="1:6">
      <c r="A523" s="8" t="str">
        <f>"2020891811"</f>
        <v>2020891811</v>
      </c>
      <c r="B523" s="9">
        <v>72</v>
      </c>
      <c r="C523" s="9">
        <f t="shared" si="24"/>
        <v>21.6</v>
      </c>
      <c r="D523" s="10">
        <v>82</v>
      </c>
      <c r="E523" s="9">
        <f t="shared" si="25"/>
        <v>57.4</v>
      </c>
      <c r="F523" s="9">
        <f t="shared" si="26"/>
        <v>79</v>
      </c>
    </row>
    <row r="524" s="1" customFormat="1" spans="1:6">
      <c r="A524" s="8" t="str">
        <f>"2020891812"</f>
        <v>2020891812</v>
      </c>
      <c r="B524" s="9">
        <v>66</v>
      </c>
      <c r="C524" s="9">
        <f t="shared" si="24"/>
        <v>19.8</v>
      </c>
      <c r="D524" s="10">
        <v>88</v>
      </c>
      <c r="E524" s="9">
        <f t="shared" si="25"/>
        <v>61.6</v>
      </c>
      <c r="F524" s="9">
        <f t="shared" si="26"/>
        <v>81.4</v>
      </c>
    </row>
    <row r="525" s="1" customFormat="1" spans="1:6">
      <c r="A525" s="8" t="str">
        <f>"2020891813"</f>
        <v>2020891813</v>
      </c>
      <c r="B525" s="9">
        <v>0</v>
      </c>
      <c r="C525" s="9">
        <f t="shared" si="24"/>
        <v>0</v>
      </c>
      <c r="D525" s="10">
        <v>0</v>
      </c>
      <c r="E525" s="9">
        <f t="shared" si="25"/>
        <v>0</v>
      </c>
      <c r="F525" s="9">
        <f t="shared" si="26"/>
        <v>0</v>
      </c>
    </row>
    <row r="526" s="1" customFormat="1" spans="1:6">
      <c r="A526" s="8" t="str">
        <f>"2020891814"</f>
        <v>2020891814</v>
      </c>
      <c r="B526" s="9">
        <v>67</v>
      </c>
      <c r="C526" s="9">
        <f t="shared" si="24"/>
        <v>20.1</v>
      </c>
      <c r="D526" s="10">
        <v>79</v>
      </c>
      <c r="E526" s="9">
        <f t="shared" si="25"/>
        <v>55.3</v>
      </c>
      <c r="F526" s="9">
        <f t="shared" si="26"/>
        <v>75.4</v>
      </c>
    </row>
    <row r="527" s="1" customFormat="1" spans="1:6">
      <c r="A527" s="8" t="str">
        <f>"2020891815"</f>
        <v>2020891815</v>
      </c>
      <c r="B527" s="9">
        <v>72</v>
      </c>
      <c r="C527" s="9">
        <f t="shared" si="24"/>
        <v>21.6</v>
      </c>
      <c r="D527" s="10">
        <v>80</v>
      </c>
      <c r="E527" s="9">
        <f t="shared" si="25"/>
        <v>56</v>
      </c>
      <c r="F527" s="9">
        <f t="shared" si="26"/>
        <v>77.6</v>
      </c>
    </row>
    <row r="528" s="1" customFormat="1" spans="1:6">
      <c r="A528" s="8" t="str">
        <f>"2020891816"</f>
        <v>2020891816</v>
      </c>
      <c r="B528" s="9">
        <v>60</v>
      </c>
      <c r="C528" s="9">
        <f t="shared" si="24"/>
        <v>18</v>
      </c>
      <c r="D528" s="10">
        <v>72</v>
      </c>
      <c r="E528" s="9">
        <f t="shared" si="25"/>
        <v>50.4</v>
      </c>
      <c r="F528" s="9">
        <f t="shared" si="26"/>
        <v>68.4</v>
      </c>
    </row>
    <row r="529" s="1" customFormat="1" spans="1:6">
      <c r="A529" s="8" t="str">
        <f>"2020891817"</f>
        <v>2020891817</v>
      </c>
      <c r="B529" s="9">
        <v>0</v>
      </c>
      <c r="C529" s="9">
        <f t="shared" si="24"/>
        <v>0</v>
      </c>
      <c r="D529" s="10">
        <v>0</v>
      </c>
      <c r="E529" s="9">
        <f t="shared" si="25"/>
        <v>0</v>
      </c>
      <c r="F529" s="9">
        <f t="shared" si="26"/>
        <v>0</v>
      </c>
    </row>
    <row r="530" s="1" customFormat="1" spans="1:6">
      <c r="A530" s="8" t="str">
        <f>"2020891818"</f>
        <v>2020891818</v>
      </c>
      <c r="B530" s="9">
        <v>66</v>
      </c>
      <c r="C530" s="9">
        <f t="shared" si="24"/>
        <v>19.8</v>
      </c>
      <c r="D530" s="10">
        <v>73</v>
      </c>
      <c r="E530" s="9">
        <f t="shared" si="25"/>
        <v>51.1</v>
      </c>
      <c r="F530" s="9">
        <f t="shared" si="26"/>
        <v>70.9</v>
      </c>
    </row>
    <row r="531" s="1" customFormat="1" spans="1:6">
      <c r="A531" s="8" t="str">
        <f>"2020891819"</f>
        <v>2020891819</v>
      </c>
      <c r="B531" s="9">
        <v>70</v>
      </c>
      <c r="C531" s="9">
        <f t="shared" si="24"/>
        <v>21</v>
      </c>
      <c r="D531" s="10">
        <v>87</v>
      </c>
      <c r="E531" s="9">
        <f t="shared" si="25"/>
        <v>60.9</v>
      </c>
      <c r="F531" s="9">
        <f t="shared" si="26"/>
        <v>81.9</v>
      </c>
    </row>
    <row r="532" s="1" customFormat="1" spans="1:6">
      <c r="A532" s="8" t="str">
        <f>"2020891820"</f>
        <v>2020891820</v>
      </c>
      <c r="B532" s="9">
        <v>62</v>
      </c>
      <c r="C532" s="9">
        <f t="shared" si="24"/>
        <v>18.6</v>
      </c>
      <c r="D532" s="10">
        <v>80</v>
      </c>
      <c r="E532" s="9">
        <f t="shared" si="25"/>
        <v>56</v>
      </c>
      <c r="F532" s="9">
        <f t="shared" si="26"/>
        <v>74.6</v>
      </c>
    </row>
    <row r="533" s="1" customFormat="1" spans="1:6">
      <c r="A533" s="8" t="str">
        <f>"2020891821"</f>
        <v>2020891821</v>
      </c>
      <c r="B533" s="9">
        <v>70</v>
      </c>
      <c r="C533" s="9">
        <f t="shared" si="24"/>
        <v>21</v>
      </c>
      <c r="D533" s="10">
        <v>74</v>
      </c>
      <c r="E533" s="9">
        <f t="shared" si="25"/>
        <v>51.8</v>
      </c>
      <c r="F533" s="9">
        <f t="shared" si="26"/>
        <v>72.8</v>
      </c>
    </row>
    <row r="534" s="1" customFormat="1" spans="1:6">
      <c r="A534" s="8" t="str">
        <f>"2020891822"</f>
        <v>2020891822</v>
      </c>
      <c r="B534" s="9">
        <v>68</v>
      </c>
      <c r="C534" s="9">
        <f t="shared" si="24"/>
        <v>20.4</v>
      </c>
      <c r="D534" s="10">
        <v>78</v>
      </c>
      <c r="E534" s="9">
        <f t="shared" si="25"/>
        <v>54.6</v>
      </c>
      <c r="F534" s="9">
        <f t="shared" si="26"/>
        <v>75</v>
      </c>
    </row>
    <row r="535" s="1" customFormat="1" spans="1:6">
      <c r="A535" s="8" t="str">
        <f>"2020891823"</f>
        <v>2020891823</v>
      </c>
      <c r="B535" s="9">
        <v>74</v>
      </c>
      <c r="C535" s="9">
        <f t="shared" si="24"/>
        <v>22.2</v>
      </c>
      <c r="D535" s="10">
        <v>88</v>
      </c>
      <c r="E535" s="9">
        <f t="shared" si="25"/>
        <v>61.6</v>
      </c>
      <c r="F535" s="9">
        <f t="shared" si="26"/>
        <v>83.8</v>
      </c>
    </row>
    <row r="536" s="1" customFormat="1" spans="1:6">
      <c r="A536" s="8" t="str">
        <f>"2020891824"</f>
        <v>2020891824</v>
      </c>
      <c r="B536" s="9">
        <v>62</v>
      </c>
      <c r="C536" s="9">
        <f t="shared" si="24"/>
        <v>18.6</v>
      </c>
      <c r="D536" s="10">
        <v>65</v>
      </c>
      <c r="E536" s="9">
        <f t="shared" si="25"/>
        <v>45.5</v>
      </c>
      <c r="F536" s="9">
        <f t="shared" si="26"/>
        <v>64.1</v>
      </c>
    </row>
    <row r="537" s="1" customFormat="1" spans="1:6">
      <c r="A537" s="8" t="str">
        <f>"2020891825"</f>
        <v>2020891825</v>
      </c>
      <c r="B537" s="9">
        <v>70</v>
      </c>
      <c r="C537" s="9">
        <f t="shared" si="24"/>
        <v>21</v>
      </c>
      <c r="D537" s="10">
        <v>75</v>
      </c>
      <c r="E537" s="9">
        <f t="shared" si="25"/>
        <v>52.5</v>
      </c>
      <c r="F537" s="9">
        <f t="shared" si="26"/>
        <v>73.5</v>
      </c>
    </row>
    <row r="538" s="1" customFormat="1" spans="1:6">
      <c r="A538" s="8" t="str">
        <f>"2020891826"</f>
        <v>2020891826</v>
      </c>
      <c r="B538" s="9">
        <v>71</v>
      </c>
      <c r="C538" s="9">
        <f t="shared" si="24"/>
        <v>21.3</v>
      </c>
      <c r="D538" s="10">
        <v>92</v>
      </c>
      <c r="E538" s="9">
        <f t="shared" si="25"/>
        <v>64.4</v>
      </c>
      <c r="F538" s="9">
        <f t="shared" si="26"/>
        <v>85.7</v>
      </c>
    </row>
    <row r="539" s="1" customFormat="1" spans="1:6">
      <c r="A539" s="8" t="str">
        <f>"2020891827"</f>
        <v>2020891827</v>
      </c>
      <c r="B539" s="9">
        <v>61</v>
      </c>
      <c r="C539" s="9">
        <f t="shared" si="24"/>
        <v>18.3</v>
      </c>
      <c r="D539" s="10">
        <v>74</v>
      </c>
      <c r="E539" s="9">
        <f t="shared" si="25"/>
        <v>51.8</v>
      </c>
      <c r="F539" s="9">
        <f t="shared" si="26"/>
        <v>70.1</v>
      </c>
    </row>
    <row r="540" s="1" customFormat="1" spans="1:6">
      <c r="A540" s="8" t="str">
        <f>"2020891828"</f>
        <v>2020891828</v>
      </c>
      <c r="B540" s="9">
        <v>66</v>
      </c>
      <c r="C540" s="9">
        <f t="shared" si="24"/>
        <v>19.8</v>
      </c>
      <c r="D540" s="10">
        <v>87</v>
      </c>
      <c r="E540" s="9">
        <f t="shared" si="25"/>
        <v>60.9</v>
      </c>
      <c r="F540" s="9">
        <f t="shared" si="26"/>
        <v>80.7</v>
      </c>
    </row>
    <row r="541" s="1" customFormat="1" spans="1:6">
      <c r="A541" s="8" t="str">
        <f>"2020891829"</f>
        <v>2020891829</v>
      </c>
      <c r="B541" s="9">
        <v>69</v>
      </c>
      <c r="C541" s="9">
        <f t="shared" si="24"/>
        <v>20.7</v>
      </c>
      <c r="D541" s="10">
        <v>81</v>
      </c>
      <c r="E541" s="9">
        <f t="shared" si="25"/>
        <v>56.7</v>
      </c>
      <c r="F541" s="9">
        <f t="shared" si="26"/>
        <v>77.4</v>
      </c>
    </row>
    <row r="542" s="1" customFormat="1" spans="1:6">
      <c r="A542" s="8" t="str">
        <f>"2020891830"</f>
        <v>2020891830</v>
      </c>
      <c r="B542" s="9">
        <v>44</v>
      </c>
      <c r="C542" s="9">
        <f t="shared" si="24"/>
        <v>13.2</v>
      </c>
      <c r="D542" s="10">
        <v>81</v>
      </c>
      <c r="E542" s="9">
        <f t="shared" si="25"/>
        <v>56.7</v>
      </c>
      <c r="F542" s="9">
        <f t="shared" si="26"/>
        <v>69.9</v>
      </c>
    </row>
    <row r="543" s="1" customFormat="1" spans="1:6">
      <c r="A543" s="8" t="str">
        <f>"2020891901"</f>
        <v>2020891901</v>
      </c>
      <c r="B543" s="9">
        <v>69</v>
      </c>
      <c r="C543" s="9">
        <f t="shared" si="24"/>
        <v>20.7</v>
      </c>
      <c r="D543" s="10">
        <v>73</v>
      </c>
      <c r="E543" s="9">
        <f t="shared" si="25"/>
        <v>51.1</v>
      </c>
      <c r="F543" s="9">
        <f t="shared" si="26"/>
        <v>71.8</v>
      </c>
    </row>
    <row r="544" s="1" customFormat="1" spans="1:6">
      <c r="A544" s="8" t="str">
        <f>"2020891902"</f>
        <v>2020891902</v>
      </c>
      <c r="B544" s="9">
        <v>0</v>
      </c>
      <c r="C544" s="9">
        <f t="shared" si="24"/>
        <v>0</v>
      </c>
      <c r="D544" s="10">
        <v>0</v>
      </c>
      <c r="E544" s="9">
        <f t="shared" si="25"/>
        <v>0</v>
      </c>
      <c r="F544" s="9">
        <f t="shared" si="26"/>
        <v>0</v>
      </c>
    </row>
    <row r="545" s="1" customFormat="1" spans="1:6">
      <c r="A545" s="8" t="str">
        <f>"2020891903"</f>
        <v>2020891903</v>
      </c>
      <c r="B545" s="9">
        <v>64</v>
      </c>
      <c r="C545" s="9">
        <f t="shared" si="24"/>
        <v>19.2</v>
      </c>
      <c r="D545" s="10">
        <v>96</v>
      </c>
      <c r="E545" s="9">
        <f t="shared" si="25"/>
        <v>67.2</v>
      </c>
      <c r="F545" s="9">
        <f t="shared" si="26"/>
        <v>86.4</v>
      </c>
    </row>
    <row r="546" s="1" customFormat="1" spans="1:6">
      <c r="A546" s="8" t="str">
        <f>"2020891904"</f>
        <v>2020891904</v>
      </c>
      <c r="B546" s="9">
        <v>62</v>
      </c>
      <c r="C546" s="9">
        <f t="shared" si="24"/>
        <v>18.6</v>
      </c>
      <c r="D546" s="10">
        <v>76</v>
      </c>
      <c r="E546" s="9">
        <f t="shared" si="25"/>
        <v>53.2</v>
      </c>
      <c r="F546" s="9">
        <f t="shared" si="26"/>
        <v>71.8</v>
      </c>
    </row>
    <row r="547" s="1" customFormat="1" spans="1:6">
      <c r="A547" s="8" t="str">
        <f>"2020891905"</f>
        <v>2020891905</v>
      </c>
      <c r="B547" s="9">
        <v>0</v>
      </c>
      <c r="C547" s="9">
        <f t="shared" si="24"/>
        <v>0</v>
      </c>
      <c r="D547" s="10">
        <v>0</v>
      </c>
      <c r="E547" s="9">
        <f t="shared" si="25"/>
        <v>0</v>
      </c>
      <c r="F547" s="9">
        <f t="shared" si="26"/>
        <v>0</v>
      </c>
    </row>
    <row r="548" s="1" customFormat="1" spans="1:6">
      <c r="A548" s="8" t="str">
        <f>"2020891906"</f>
        <v>2020891906</v>
      </c>
      <c r="B548" s="9">
        <v>47</v>
      </c>
      <c r="C548" s="9">
        <f t="shared" si="24"/>
        <v>14.1</v>
      </c>
      <c r="D548" s="10">
        <v>66</v>
      </c>
      <c r="E548" s="9">
        <f t="shared" si="25"/>
        <v>46.2</v>
      </c>
      <c r="F548" s="9">
        <f t="shared" si="26"/>
        <v>60.3</v>
      </c>
    </row>
    <row r="549" s="1" customFormat="1" spans="1:6">
      <c r="A549" s="8" t="str">
        <f>"2020891907"</f>
        <v>2020891907</v>
      </c>
      <c r="B549" s="9">
        <v>61</v>
      </c>
      <c r="C549" s="9">
        <f t="shared" si="24"/>
        <v>18.3</v>
      </c>
      <c r="D549" s="10">
        <v>74</v>
      </c>
      <c r="E549" s="9">
        <f t="shared" si="25"/>
        <v>51.8</v>
      </c>
      <c r="F549" s="9">
        <f t="shared" si="26"/>
        <v>70.1</v>
      </c>
    </row>
    <row r="550" s="1" customFormat="1" spans="1:6">
      <c r="A550" s="8" t="str">
        <f>"2020891908"</f>
        <v>2020891908</v>
      </c>
      <c r="B550" s="9">
        <v>78</v>
      </c>
      <c r="C550" s="9">
        <f t="shared" si="24"/>
        <v>23.4</v>
      </c>
      <c r="D550" s="10">
        <v>78</v>
      </c>
      <c r="E550" s="9">
        <f t="shared" si="25"/>
        <v>54.6</v>
      </c>
      <c r="F550" s="9">
        <f t="shared" si="26"/>
        <v>78</v>
      </c>
    </row>
    <row r="551" s="1" customFormat="1" spans="1:6">
      <c r="A551" s="8" t="str">
        <f>"2020891909"</f>
        <v>2020891909</v>
      </c>
      <c r="B551" s="9">
        <v>0</v>
      </c>
      <c r="C551" s="9">
        <f t="shared" si="24"/>
        <v>0</v>
      </c>
      <c r="D551" s="10">
        <v>0</v>
      </c>
      <c r="E551" s="9">
        <f t="shared" si="25"/>
        <v>0</v>
      </c>
      <c r="F551" s="9">
        <f t="shared" si="26"/>
        <v>0</v>
      </c>
    </row>
    <row r="552" s="1" customFormat="1" spans="1:6">
      <c r="A552" s="8" t="str">
        <f>"2020891910"</f>
        <v>2020891910</v>
      </c>
      <c r="B552" s="9">
        <v>74</v>
      </c>
      <c r="C552" s="9">
        <f t="shared" si="24"/>
        <v>22.2</v>
      </c>
      <c r="D552" s="10">
        <v>66</v>
      </c>
      <c r="E552" s="9">
        <f t="shared" si="25"/>
        <v>46.2</v>
      </c>
      <c r="F552" s="9">
        <f t="shared" si="26"/>
        <v>68.4</v>
      </c>
    </row>
    <row r="553" s="1" customFormat="1" spans="1:6">
      <c r="A553" s="8" t="str">
        <f>"2020891911"</f>
        <v>2020891911</v>
      </c>
      <c r="B553" s="9">
        <v>55</v>
      </c>
      <c r="C553" s="9">
        <f t="shared" si="24"/>
        <v>16.5</v>
      </c>
      <c r="D553" s="10">
        <v>62</v>
      </c>
      <c r="E553" s="9">
        <f t="shared" si="25"/>
        <v>43.4</v>
      </c>
      <c r="F553" s="9">
        <f t="shared" si="26"/>
        <v>59.9</v>
      </c>
    </row>
    <row r="554" s="1" customFormat="1" spans="1:6">
      <c r="A554" s="8" t="str">
        <f>"2020891912"</f>
        <v>2020891912</v>
      </c>
      <c r="B554" s="9">
        <v>72</v>
      </c>
      <c r="C554" s="9">
        <f t="shared" si="24"/>
        <v>21.6</v>
      </c>
      <c r="D554" s="10">
        <v>89</v>
      </c>
      <c r="E554" s="9">
        <f t="shared" si="25"/>
        <v>62.3</v>
      </c>
      <c r="F554" s="9">
        <f t="shared" si="26"/>
        <v>83.9</v>
      </c>
    </row>
    <row r="555" s="1" customFormat="1" spans="1:6">
      <c r="A555" s="8" t="str">
        <f>"2020891913"</f>
        <v>2020891913</v>
      </c>
      <c r="B555" s="9">
        <v>74</v>
      </c>
      <c r="C555" s="9">
        <f t="shared" si="24"/>
        <v>22.2</v>
      </c>
      <c r="D555" s="10">
        <v>76</v>
      </c>
      <c r="E555" s="9">
        <f t="shared" si="25"/>
        <v>53.2</v>
      </c>
      <c r="F555" s="9">
        <f t="shared" si="26"/>
        <v>75.4</v>
      </c>
    </row>
    <row r="556" s="1" customFormat="1" spans="1:6">
      <c r="A556" s="8" t="str">
        <f>"2020891914"</f>
        <v>2020891914</v>
      </c>
      <c r="B556" s="9">
        <v>79</v>
      </c>
      <c r="C556" s="9">
        <f t="shared" si="24"/>
        <v>23.7</v>
      </c>
      <c r="D556" s="10">
        <v>65</v>
      </c>
      <c r="E556" s="9">
        <f t="shared" si="25"/>
        <v>45.5</v>
      </c>
      <c r="F556" s="9">
        <f t="shared" si="26"/>
        <v>69.2</v>
      </c>
    </row>
    <row r="557" s="1" customFormat="1" spans="1:6">
      <c r="A557" s="8" t="str">
        <f>"2020891915"</f>
        <v>2020891915</v>
      </c>
      <c r="B557" s="9">
        <v>62</v>
      </c>
      <c r="C557" s="9">
        <f t="shared" si="24"/>
        <v>18.6</v>
      </c>
      <c r="D557" s="10">
        <v>75</v>
      </c>
      <c r="E557" s="9">
        <f t="shared" si="25"/>
        <v>52.5</v>
      </c>
      <c r="F557" s="9">
        <f t="shared" si="26"/>
        <v>71.1</v>
      </c>
    </row>
    <row r="558" s="1" customFormat="1" spans="1:6">
      <c r="A558" s="8" t="str">
        <f>"2020891916"</f>
        <v>2020891916</v>
      </c>
      <c r="B558" s="9">
        <v>55</v>
      </c>
      <c r="C558" s="9">
        <f t="shared" si="24"/>
        <v>16.5</v>
      </c>
      <c r="D558" s="10">
        <v>66</v>
      </c>
      <c r="E558" s="9">
        <f t="shared" si="25"/>
        <v>46.2</v>
      </c>
      <c r="F558" s="9">
        <f t="shared" si="26"/>
        <v>62.7</v>
      </c>
    </row>
    <row r="559" s="1" customFormat="1" spans="1:6">
      <c r="A559" s="8" t="str">
        <f>"2020891917"</f>
        <v>2020891917</v>
      </c>
      <c r="B559" s="9">
        <v>62</v>
      </c>
      <c r="C559" s="9">
        <f t="shared" si="24"/>
        <v>18.6</v>
      </c>
      <c r="D559" s="10">
        <v>93</v>
      </c>
      <c r="E559" s="9">
        <f t="shared" si="25"/>
        <v>65.1</v>
      </c>
      <c r="F559" s="9">
        <f t="shared" si="26"/>
        <v>83.7</v>
      </c>
    </row>
    <row r="560" s="1" customFormat="1" spans="1:6">
      <c r="A560" s="8" t="str">
        <f>"2020891918"</f>
        <v>2020891918</v>
      </c>
      <c r="B560" s="9">
        <v>70</v>
      </c>
      <c r="C560" s="9">
        <f t="shared" si="24"/>
        <v>21</v>
      </c>
      <c r="D560" s="10">
        <v>64</v>
      </c>
      <c r="E560" s="9">
        <f t="shared" si="25"/>
        <v>44.8</v>
      </c>
      <c r="F560" s="9">
        <f t="shared" si="26"/>
        <v>65.8</v>
      </c>
    </row>
    <row r="561" s="1" customFormat="1" spans="1:6">
      <c r="A561" s="8" t="str">
        <f>"2020891919"</f>
        <v>2020891919</v>
      </c>
      <c r="B561" s="9">
        <v>69</v>
      </c>
      <c r="C561" s="9">
        <f t="shared" si="24"/>
        <v>20.7</v>
      </c>
      <c r="D561" s="10">
        <v>83</v>
      </c>
      <c r="E561" s="9">
        <f t="shared" si="25"/>
        <v>58.1</v>
      </c>
      <c r="F561" s="9">
        <f t="shared" si="26"/>
        <v>78.8</v>
      </c>
    </row>
    <row r="562" s="1" customFormat="1" spans="1:6">
      <c r="A562" s="8" t="str">
        <f>"2020891920"</f>
        <v>2020891920</v>
      </c>
      <c r="B562" s="9">
        <v>77</v>
      </c>
      <c r="C562" s="9">
        <f t="shared" si="24"/>
        <v>23.1</v>
      </c>
      <c r="D562" s="10">
        <v>71</v>
      </c>
      <c r="E562" s="9">
        <f t="shared" si="25"/>
        <v>49.7</v>
      </c>
      <c r="F562" s="9">
        <f t="shared" si="26"/>
        <v>72.8</v>
      </c>
    </row>
    <row r="563" s="1" customFormat="1" spans="1:6">
      <c r="A563" s="8" t="str">
        <f>"2020891921"</f>
        <v>2020891921</v>
      </c>
      <c r="B563" s="9">
        <v>0</v>
      </c>
      <c r="C563" s="9">
        <f t="shared" si="24"/>
        <v>0</v>
      </c>
      <c r="D563" s="10">
        <v>0</v>
      </c>
      <c r="E563" s="9">
        <f t="shared" si="25"/>
        <v>0</v>
      </c>
      <c r="F563" s="9">
        <f t="shared" si="26"/>
        <v>0</v>
      </c>
    </row>
    <row r="564" s="1" customFormat="1" spans="1:6">
      <c r="A564" s="8" t="str">
        <f>"2020891922"</f>
        <v>2020891922</v>
      </c>
      <c r="B564" s="9">
        <v>73</v>
      </c>
      <c r="C564" s="9">
        <f t="shared" si="24"/>
        <v>21.9</v>
      </c>
      <c r="D564" s="10">
        <v>85</v>
      </c>
      <c r="E564" s="9">
        <f t="shared" si="25"/>
        <v>59.5</v>
      </c>
      <c r="F564" s="9">
        <f t="shared" si="26"/>
        <v>81.4</v>
      </c>
    </row>
    <row r="565" s="1" customFormat="1" spans="1:6">
      <c r="A565" s="8" t="str">
        <f>"2020891923"</f>
        <v>2020891923</v>
      </c>
      <c r="B565" s="9">
        <v>56</v>
      </c>
      <c r="C565" s="9">
        <f t="shared" si="24"/>
        <v>16.8</v>
      </c>
      <c r="D565" s="10">
        <v>75</v>
      </c>
      <c r="E565" s="9">
        <f t="shared" si="25"/>
        <v>52.5</v>
      </c>
      <c r="F565" s="9">
        <f t="shared" si="26"/>
        <v>69.3</v>
      </c>
    </row>
    <row r="566" s="1" customFormat="1" spans="1:6">
      <c r="A566" s="8" t="str">
        <f>"2020891924"</f>
        <v>2020891924</v>
      </c>
      <c r="B566" s="9">
        <v>72</v>
      </c>
      <c r="C566" s="9">
        <f t="shared" si="24"/>
        <v>21.6</v>
      </c>
      <c r="D566" s="10">
        <v>88</v>
      </c>
      <c r="E566" s="9">
        <f t="shared" si="25"/>
        <v>61.6</v>
      </c>
      <c r="F566" s="9">
        <f t="shared" si="26"/>
        <v>83.2</v>
      </c>
    </row>
    <row r="567" s="1" customFormat="1" spans="1:6">
      <c r="A567" s="8" t="str">
        <f>"2020891925"</f>
        <v>2020891925</v>
      </c>
      <c r="B567" s="9">
        <v>71</v>
      </c>
      <c r="C567" s="9">
        <f t="shared" si="24"/>
        <v>21.3</v>
      </c>
      <c r="D567" s="10">
        <v>89</v>
      </c>
      <c r="E567" s="9">
        <f t="shared" si="25"/>
        <v>62.3</v>
      </c>
      <c r="F567" s="9">
        <f t="shared" si="26"/>
        <v>83.6</v>
      </c>
    </row>
    <row r="568" s="1" customFormat="1" spans="1:6">
      <c r="A568" s="8" t="str">
        <f>"2020891926"</f>
        <v>2020891926</v>
      </c>
      <c r="B568" s="9">
        <v>65</v>
      </c>
      <c r="C568" s="9">
        <f t="shared" si="24"/>
        <v>19.5</v>
      </c>
      <c r="D568" s="10">
        <v>60</v>
      </c>
      <c r="E568" s="9">
        <f t="shared" si="25"/>
        <v>42</v>
      </c>
      <c r="F568" s="9">
        <f t="shared" si="26"/>
        <v>61.5</v>
      </c>
    </row>
    <row r="569" s="1" customFormat="1" spans="1:6">
      <c r="A569" s="8" t="str">
        <f>"2020891927"</f>
        <v>2020891927</v>
      </c>
      <c r="B569" s="9">
        <v>56</v>
      </c>
      <c r="C569" s="9">
        <f t="shared" si="24"/>
        <v>16.8</v>
      </c>
      <c r="D569" s="10">
        <v>82</v>
      </c>
      <c r="E569" s="9">
        <f t="shared" si="25"/>
        <v>57.4</v>
      </c>
      <c r="F569" s="9">
        <f t="shared" si="26"/>
        <v>74.2</v>
      </c>
    </row>
    <row r="570" s="1" customFormat="1" spans="1:6">
      <c r="A570" s="8" t="str">
        <f>"2020891928"</f>
        <v>2020891928</v>
      </c>
      <c r="B570" s="9">
        <v>0</v>
      </c>
      <c r="C570" s="9">
        <f t="shared" si="24"/>
        <v>0</v>
      </c>
      <c r="D570" s="10">
        <v>0</v>
      </c>
      <c r="E570" s="9">
        <f t="shared" si="25"/>
        <v>0</v>
      </c>
      <c r="F570" s="9">
        <f t="shared" si="26"/>
        <v>0</v>
      </c>
    </row>
    <row r="571" s="1" customFormat="1" spans="1:6">
      <c r="A571" s="8" t="str">
        <f>"2020891929"</f>
        <v>2020891929</v>
      </c>
      <c r="B571" s="9">
        <v>60</v>
      </c>
      <c r="C571" s="9">
        <f t="shared" si="24"/>
        <v>18</v>
      </c>
      <c r="D571" s="10">
        <v>81</v>
      </c>
      <c r="E571" s="9">
        <f t="shared" si="25"/>
        <v>56.7</v>
      </c>
      <c r="F571" s="9">
        <f t="shared" si="26"/>
        <v>74.7</v>
      </c>
    </row>
    <row r="572" s="1" customFormat="1" spans="1:6">
      <c r="A572" s="8" t="str">
        <f>"2020891930"</f>
        <v>2020891930</v>
      </c>
      <c r="B572" s="9">
        <v>67</v>
      </c>
      <c r="C572" s="9">
        <f t="shared" si="24"/>
        <v>20.1</v>
      </c>
      <c r="D572" s="10">
        <v>70</v>
      </c>
      <c r="E572" s="9">
        <f t="shared" si="25"/>
        <v>49</v>
      </c>
      <c r="F572" s="9">
        <f t="shared" si="26"/>
        <v>69.1</v>
      </c>
    </row>
    <row r="573" s="1" customFormat="1" spans="1:6">
      <c r="A573" s="8" t="str">
        <f>"2020892001"</f>
        <v>2020892001</v>
      </c>
      <c r="B573" s="9">
        <v>67</v>
      </c>
      <c r="C573" s="9">
        <f t="shared" si="24"/>
        <v>20.1</v>
      </c>
      <c r="D573" s="10">
        <v>61</v>
      </c>
      <c r="E573" s="9">
        <f t="shared" si="25"/>
        <v>42.7</v>
      </c>
      <c r="F573" s="9">
        <f t="shared" si="26"/>
        <v>62.8</v>
      </c>
    </row>
    <row r="574" s="1" customFormat="1" spans="1:6">
      <c r="A574" s="8" t="str">
        <f>"2020892002"</f>
        <v>2020892002</v>
      </c>
      <c r="B574" s="9">
        <v>69</v>
      </c>
      <c r="C574" s="9">
        <f t="shared" si="24"/>
        <v>20.7</v>
      </c>
      <c r="D574" s="10">
        <v>86</v>
      </c>
      <c r="E574" s="9">
        <f t="shared" si="25"/>
        <v>60.2</v>
      </c>
      <c r="F574" s="9">
        <f t="shared" si="26"/>
        <v>80.9</v>
      </c>
    </row>
    <row r="575" s="1" customFormat="1" spans="1:6">
      <c r="A575" s="8" t="str">
        <f>"2020892003"</f>
        <v>2020892003</v>
      </c>
      <c r="B575" s="9">
        <v>75</v>
      </c>
      <c r="C575" s="9">
        <f t="shared" si="24"/>
        <v>22.5</v>
      </c>
      <c r="D575" s="10">
        <v>79</v>
      </c>
      <c r="E575" s="9">
        <f t="shared" si="25"/>
        <v>55.3</v>
      </c>
      <c r="F575" s="9">
        <f t="shared" si="26"/>
        <v>77.8</v>
      </c>
    </row>
    <row r="576" s="1" customFormat="1" spans="1:6">
      <c r="A576" s="8" t="str">
        <f>"2020892004"</f>
        <v>2020892004</v>
      </c>
      <c r="B576" s="9">
        <v>0</v>
      </c>
      <c r="C576" s="9">
        <f t="shared" si="24"/>
        <v>0</v>
      </c>
      <c r="D576" s="10">
        <v>0</v>
      </c>
      <c r="E576" s="9">
        <f t="shared" si="25"/>
        <v>0</v>
      </c>
      <c r="F576" s="9">
        <f t="shared" si="26"/>
        <v>0</v>
      </c>
    </row>
    <row r="577" s="1" customFormat="1" spans="1:6">
      <c r="A577" s="8" t="str">
        <f>"2020892005"</f>
        <v>2020892005</v>
      </c>
      <c r="B577" s="9">
        <v>64</v>
      </c>
      <c r="C577" s="9">
        <f t="shared" si="24"/>
        <v>19.2</v>
      </c>
      <c r="D577" s="10">
        <v>71</v>
      </c>
      <c r="E577" s="9">
        <f t="shared" si="25"/>
        <v>49.7</v>
      </c>
      <c r="F577" s="9">
        <f t="shared" si="26"/>
        <v>68.9</v>
      </c>
    </row>
    <row r="578" s="1" customFormat="1" spans="1:6">
      <c r="A578" s="8" t="str">
        <f>"2020892006"</f>
        <v>2020892006</v>
      </c>
      <c r="B578" s="9">
        <v>60</v>
      </c>
      <c r="C578" s="9">
        <f t="shared" si="24"/>
        <v>18</v>
      </c>
      <c r="D578" s="10">
        <v>82</v>
      </c>
      <c r="E578" s="9">
        <f t="shared" si="25"/>
        <v>57.4</v>
      </c>
      <c r="F578" s="9">
        <f t="shared" si="26"/>
        <v>75.4</v>
      </c>
    </row>
    <row r="579" s="1" customFormat="1" spans="1:6">
      <c r="A579" s="8" t="str">
        <f>"2020892007"</f>
        <v>2020892007</v>
      </c>
      <c r="B579" s="9">
        <v>68</v>
      </c>
      <c r="C579" s="9">
        <f t="shared" ref="C579:C642" si="27">B579*0.3</f>
        <v>20.4</v>
      </c>
      <c r="D579" s="10">
        <v>80</v>
      </c>
      <c r="E579" s="9">
        <f t="shared" ref="E579:E642" si="28">D579*0.7</f>
        <v>56</v>
      </c>
      <c r="F579" s="9">
        <f t="shared" ref="F579:F642" si="29">C579+E579</f>
        <v>76.4</v>
      </c>
    </row>
    <row r="580" s="1" customFormat="1" spans="1:6">
      <c r="A580" s="8" t="str">
        <f>"2020892008"</f>
        <v>2020892008</v>
      </c>
      <c r="B580" s="9">
        <v>84</v>
      </c>
      <c r="C580" s="9">
        <f t="shared" si="27"/>
        <v>25.2</v>
      </c>
      <c r="D580" s="10">
        <v>65</v>
      </c>
      <c r="E580" s="9">
        <f t="shared" si="28"/>
        <v>45.5</v>
      </c>
      <c r="F580" s="9">
        <f t="shared" si="29"/>
        <v>70.7</v>
      </c>
    </row>
    <row r="581" s="1" customFormat="1" spans="1:6">
      <c r="A581" s="8" t="str">
        <f>"2020892009"</f>
        <v>2020892009</v>
      </c>
      <c r="B581" s="9">
        <v>71</v>
      </c>
      <c r="C581" s="9">
        <f t="shared" si="27"/>
        <v>21.3</v>
      </c>
      <c r="D581" s="10">
        <v>58</v>
      </c>
      <c r="E581" s="9">
        <f t="shared" si="28"/>
        <v>40.6</v>
      </c>
      <c r="F581" s="9">
        <f t="shared" si="29"/>
        <v>61.9</v>
      </c>
    </row>
    <row r="582" s="1" customFormat="1" spans="1:6">
      <c r="A582" s="8" t="str">
        <f>"2020892010"</f>
        <v>2020892010</v>
      </c>
      <c r="B582" s="9">
        <v>74</v>
      </c>
      <c r="C582" s="9">
        <f t="shared" si="27"/>
        <v>22.2</v>
      </c>
      <c r="D582" s="10">
        <v>61</v>
      </c>
      <c r="E582" s="9">
        <f t="shared" si="28"/>
        <v>42.7</v>
      </c>
      <c r="F582" s="9">
        <f t="shared" si="29"/>
        <v>64.9</v>
      </c>
    </row>
    <row r="583" s="1" customFormat="1" spans="1:6">
      <c r="A583" s="8" t="str">
        <f>"2020892011"</f>
        <v>2020892011</v>
      </c>
      <c r="B583" s="9">
        <v>73</v>
      </c>
      <c r="C583" s="9">
        <f t="shared" si="27"/>
        <v>21.9</v>
      </c>
      <c r="D583" s="10">
        <v>95</v>
      </c>
      <c r="E583" s="9">
        <f t="shared" si="28"/>
        <v>66.5</v>
      </c>
      <c r="F583" s="9">
        <f t="shared" si="29"/>
        <v>88.4</v>
      </c>
    </row>
    <row r="584" s="1" customFormat="1" spans="1:6">
      <c r="A584" s="8" t="str">
        <f>"2020892012"</f>
        <v>2020892012</v>
      </c>
      <c r="B584" s="9">
        <v>0</v>
      </c>
      <c r="C584" s="9">
        <f t="shared" si="27"/>
        <v>0</v>
      </c>
      <c r="D584" s="10">
        <v>0</v>
      </c>
      <c r="E584" s="9">
        <f t="shared" si="28"/>
        <v>0</v>
      </c>
      <c r="F584" s="9">
        <f t="shared" si="29"/>
        <v>0</v>
      </c>
    </row>
    <row r="585" s="1" customFormat="1" spans="1:6">
      <c r="A585" s="8" t="str">
        <f>"2020892013"</f>
        <v>2020892013</v>
      </c>
      <c r="B585" s="9">
        <v>0</v>
      </c>
      <c r="C585" s="9">
        <f t="shared" si="27"/>
        <v>0</v>
      </c>
      <c r="D585" s="10">
        <v>0</v>
      </c>
      <c r="E585" s="9">
        <f t="shared" si="28"/>
        <v>0</v>
      </c>
      <c r="F585" s="9">
        <f t="shared" si="29"/>
        <v>0</v>
      </c>
    </row>
    <row r="586" s="1" customFormat="1" spans="1:6">
      <c r="A586" s="8" t="str">
        <f>"2020892014"</f>
        <v>2020892014</v>
      </c>
      <c r="B586" s="9">
        <v>0</v>
      </c>
      <c r="C586" s="9">
        <f t="shared" si="27"/>
        <v>0</v>
      </c>
      <c r="D586" s="10">
        <v>0</v>
      </c>
      <c r="E586" s="9">
        <f t="shared" si="28"/>
        <v>0</v>
      </c>
      <c r="F586" s="9">
        <f t="shared" si="29"/>
        <v>0</v>
      </c>
    </row>
    <row r="587" s="1" customFormat="1" spans="1:6">
      <c r="A587" s="8" t="str">
        <f>"2020892015"</f>
        <v>2020892015</v>
      </c>
      <c r="B587" s="9">
        <v>71</v>
      </c>
      <c r="C587" s="9">
        <f t="shared" si="27"/>
        <v>21.3</v>
      </c>
      <c r="D587" s="10">
        <v>70</v>
      </c>
      <c r="E587" s="9">
        <f t="shared" si="28"/>
        <v>49</v>
      </c>
      <c r="F587" s="9">
        <f t="shared" si="29"/>
        <v>70.3</v>
      </c>
    </row>
    <row r="588" s="1" customFormat="1" spans="1:6">
      <c r="A588" s="8" t="str">
        <f>"2020892016"</f>
        <v>2020892016</v>
      </c>
      <c r="B588" s="9">
        <v>66</v>
      </c>
      <c r="C588" s="9">
        <f t="shared" si="27"/>
        <v>19.8</v>
      </c>
      <c r="D588" s="10">
        <v>69</v>
      </c>
      <c r="E588" s="9">
        <f t="shared" si="28"/>
        <v>48.3</v>
      </c>
      <c r="F588" s="9">
        <f t="shared" si="29"/>
        <v>68.1</v>
      </c>
    </row>
    <row r="589" s="1" customFormat="1" spans="1:6">
      <c r="A589" s="8" t="str">
        <f>"2020892017"</f>
        <v>2020892017</v>
      </c>
      <c r="B589" s="9">
        <v>50</v>
      </c>
      <c r="C589" s="9">
        <f t="shared" si="27"/>
        <v>15</v>
      </c>
      <c r="D589" s="10">
        <v>84</v>
      </c>
      <c r="E589" s="9">
        <f t="shared" si="28"/>
        <v>58.8</v>
      </c>
      <c r="F589" s="9">
        <f t="shared" si="29"/>
        <v>73.8</v>
      </c>
    </row>
    <row r="590" s="1" customFormat="1" spans="1:6">
      <c r="A590" s="8" t="str">
        <f>"2020892018"</f>
        <v>2020892018</v>
      </c>
      <c r="B590" s="9">
        <v>51</v>
      </c>
      <c r="C590" s="9">
        <f t="shared" si="27"/>
        <v>15.3</v>
      </c>
      <c r="D590" s="10">
        <v>70</v>
      </c>
      <c r="E590" s="9">
        <f t="shared" si="28"/>
        <v>49</v>
      </c>
      <c r="F590" s="9">
        <f t="shared" si="29"/>
        <v>64.3</v>
      </c>
    </row>
    <row r="591" s="1" customFormat="1" spans="1:6">
      <c r="A591" s="8" t="str">
        <f>"2020892019"</f>
        <v>2020892019</v>
      </c>
      <c r="B591" s="9">
        <v>66</v>
      </c>
      <c r="C591" s="9">
        <f t="shared" si="27"/>
        <v>19.8</v>
      </c>
      <c r="D591" s="10">
        <v>72</v>
      </c>
      <c r="E591" s="9">
        <f t="shared" si="28"/>
        <v>50.4</v>
      </c>
      <c r="F591" s="9">
        <f t="shared" si="29"/>
        <v>70.2</v>
      </c>
    </row>
    <row r="592" s="1" customFormat="1" spans="1:6">
      <c r="A592" s="8" t="str">
        <f>"2020892020"</f>
        <v>2020892020</v>
      </c>
      <c r="B592" s="9">
        <v>59</v>
      </c>
      <c r="C592" s="9">
        <f t="shared" si="27"/>
        <v>17.7</v>
      </c>
      <c r="D592" s="10">
        <v>83</v>
      </c>
      <c r="E592" s="9">
        <f t="shared" si="28"/>
        <v>58.1</v>
      </c>
      <c r="F592" s="9">
        <f t="shared" si="29"/>
        <v>75.8</v>
      </c>
    </row>
    <row r="593" s="1" customFormat="1" spans="1:6">
      <c r="A593" s="8" t="str">
        <f>"2020892021"</f>
        <v>2020892021</v>
      </c>
      <c r="B593" s="9">
        <v>65</v>
      </c>
      <c r="C593" s="9">
        <f t="shared" si="27"/>
        <v>19.5</v>
      </c>
      <c r="D593" s="10">
        <v>75</v>
      </c>
      <c r="E593" s="9">
        <f t="shared" si="28"/>
        <v>52.5</v>
      </c>
      <c r="F593" s="9">
        <f t="shared" si="29"/>
        <v>72</v>
      </c>
    </row>
    <row r="594" s="1" customFormat="1" spans="1:6">
      <c r="A594" s="8" t="str">
        <f>"2020892022"</f>
        <v>2020892022</v>
      </c>
      <c r="B594" s="9">
        <v>65</v>
      </c>
      <c r="C594" s="9">
        <f t="shared" si="27"/>
        <v>19.5</v>
      </c>
      <c r="D594" s="10">
        <v>81</v>
      </c>
      <c r="E594" s="9">
        <f t="shared" si="28"/>
        <v>56.7</v>
      </c>
      <c r="F594" s="9">
        <f t="shared" si="29"/>
        <v>76.2</v>
      </c>
    </row>
    <row r="595" s="1" customFormat="1" spans="1:6">
      <c r="A595" s="8" t="str">
        <f>"2020892023"</f>
        <v>2020892023</v>
      </c>
      <c r="B595" s="9">
        <v>48</v>
      </c>
      <c r="C595" s="9">
        <f t="shared" si="27"/>
        <v>14.4</v>
      </c>
      <c r="D595" s="10">
        <v>60</v>
      </c>
      <c r="E595" s="9">
        <f t="shared" si="28"/>
        <v>42</v>
      </c>
      <c r="F595" s="9">
        <f t="shared" si="29"/>
        <v>56.4</v>
      </c>
    </row>
    <row r="596" s="1" customFormat="1" spans="1:6">
      <c r="A596" s="8" t="str">
        <f>"2020892024"</f>
        <v>2020892024</v>
      </c>
      <c r="B596" s="9">
        <v>0</v>
      </c>
      <c r="C596" s="9">
        <f t="shared" si="27"/>
        <v>0</v>
      </c>
      <c r="D596" s="10">
        <v>0</v>
      </c>
      <c r="E596" s="9">
        <f t="shared" si="28"/>
        <v>0</v>
      </c>
      <c r="F596" s="9">
        <f t="shared" si="29"/>
        <v>0</v>
      </c>
    </row>
    <row r="597" s="1" customFormat="1" spans="1:6">
      <c r="A597" s="8" t="str">
        <f>"2020892025"</f>
        <v>2020892025</v>
      </c>
      <c r="B597" s="9">
        <v>69</v>
      </c>
      <c r="C597" s="9">
        <f t="shared" si="27"/>
        <v>20.7</v>
      </c>
      <c r="D597" s="10">
        <v>79</v>
      </c>
      <c r="E597" s="9">
        <f t="shared" si="28"/>
        <v>55.3</v>
      </c>
      <c r="F597" s="9">
        <f t="shared" si="29"/>
        <v>76</v>
      </c>
    </row>
    <row r="598" s="1" customFormat="1" spans="1:6">
      <c r="A598" s="8" t="str">
        <f>"2020892026"</f>
        <v>2020892026</v>
      </c>
      <c r="B598" s="9">
        <v>66</v>
      </c>
      <c r="C598" s="9">
        <f t="shared" si="27"/>
        <v>19.8</v>
      </c>
      <c r="D598" s="10">
        <v>74</v>
      </c>
      <c r="E598" s="9">
        <f t="shared" si="28"/>
        <v>51.8</v>
      </c>
      <c r="F598" s="9">
        <f t="shared" si="29"/>
        <v>71.6</v>
      </c>
    </row>
    <row r="599" s="1" customFormat="1" spans="1:6">
      <c r="A599" s="8" t="str">
        <f>"2020892027"</f>
        <v>2020892027</v>
      </c>
      <c r="B599" s="9">
        <v>74</v>
      </c>
      <c r="C599" s="9">
        <f t="shared" si="27"/>
        <v>22.2</v>
      </c>
      <c r="D599" s="10">
        <v>77</v>
      </c>
      <c r="E599" s="9">
        <f t="shared" si="28"/>
        <v>53.9</v>
      </c>
      <c r="F599" s="9">
        <f t="shared" si="29"/>
        <v>76.1</v>
      </c>
    </row>
    <row r="600" s="1" customFormat="1" spans="1:6">
      <c r="A600" s="8" t="str">
        <f>"2020892028"</f>
        <v>2020892028</v>
      </c>
      <c r="B600" s="9">
        <v>0</v>
      </c>
      <c r="C600" s="9">
        <f t="shared" si="27"/>
        <v>0</v>
      </c>
      <c r="D600" s="10">
        <v>0</v>
      </c>
      <c r="E600" s="9">
        <f t="shared" si="28"/>
        <v>0</v>
      </c>
      <c r="F600" s="9">
        <f t="shared" si="29"/>
        <v>0</v>
      </c>
    </row>
    <row r="601" s="1" customFormat="1" spans="1:6">
      <c r="A601" s="8" t="str">
        <f>"2020892029"</f>
        <v>2020892029</v>
      </c>
      <c r="B601" s="9">
        <v>0</v>
      </c>
      <c r="C601" s="9">
        <f t="shared" si="27"/>
        <v>0</v>
      </c>
      <c r="D601" s="10">
        <v>0</v>
      </c>
      <c r="E601" s="9">
        <f t="shared" si="28"/>
        <v>0</v>
      </c>
      <c r="F601" s="9">
        <f t="shared" si="29"/>
        <v>0</v>
      </c>
    </row>
    <row r="602" s="1" customFormat="1" spans="1:6">
      <c r="A602" s="8" t="str">
        <f>"2020892030"</f>
        <v>2020892030</v>
      </c>
      <c r="B602" s="9">
        <v>64</v>
      </c>
      <c r="C602" s="9">
        <f t="shared" si="27"/>
        <v>19.2</v>
      </c>
      <c r="D602" s="10">
        <v>74</v>
      </c>
      <c r="E602" s="9">
        <f t="shared" si="28"/>
        <v>51.8</v>
      </c>
      <c r="F602" s="9">
        <f t="shared" si="29"/>
        <v>71</v>
      </c>
    </row>
    <row r="603" s="1" customFormat="1" spans="1:6">
      <c r="A603" s="8" t="str">
        <f>"2020892101"</f>
        <v>2020892101</v>
      </c>
      <c r="B603" s="9">
        <v>57</v>
      </c>
      <c r="C603" s="9">
        <f t="shared" si="27"/>
        <v>17.1</v>
      </c>
      <c r="D603" s="10">
        <v>80</v>
      </c>
      <c r="E603" s="9">
        <f t="shared" si="28"/>
        <v>56</v>
      </c>
      <c r="F603" s="9">
        <f t="shared" si="29"/>
        <v>73.1</v>
      </c>
    </row>
    <row r="604" s="1" customFormat="1" spans="1:6">
      <c r="A604" s="8" t="str">
        <f>"2020892102"</f>
        <v>2020892102</v>
      </c>
      <c r="B604" s="9">
        <v>70</v>
      </c>
      <c r="C604" s="9">
        <f t="shared" si="27"/>
        <v>21</v>
      </c>
      <c r="D604" s="10">
        <v>72</v>
      </c>
      <c r="E604" s="9">
        <f t="shared" si="28"/>
        <v>50.4</v>
      </c>
      <c r="F604" s="9">
        <f t="shared" si="29"/>
        <v>71.4</v>
      </c>
    </row>
    <row r="605" s="1" customFormat="1" spans="1:6">
      <c r="A605" s="8" t="str">
        <f>"2020892103"</f>
        <v>2020892103</v>
      </c>
      <c r="B605" s="9">
        <v>59</v>
      </c>
      <c r="C605" s="9">
        <f t="shared" si="27"/>
        <v>17.7</v>
      </c>
      <c r="D605" s="10">
        <v>78</v>
      </c>
      <c r="E605" s="9">
        <f t="shared" si="28"/>
        <v>54.6</v>
      </c>
      <c r="F605" s="9">
        <f t="shared" si="29"/>
        <v>72.3</v>
      </c>
    </row>
    <row r="606" s="1" customFormat="1" spans="1:6">
      <c r="A606" s="8" t="str">
        <f>"2020892104"</f>
        <v>2020892104</v>
      </c>
      <c r="B606" s="9">
        <v>56</v>
      </c>
      <c r="C606" s="9">
        <f t="shared" si="27"/>
        <v>16.8</v>
      </c>
      <c r="D606" s="10">
        <v>61</v>
      </c>
      <c r="E606" s="9">
        <f t="shared" si="28"/>
        <v>42.7</v>
      </c>
      <c r="F606" s="9">
        <f t="shared" si="29"/>
        <v>59.5</v>
      </c>
    </row>
    <row r="607" s="1" customFormat="1" spans="1:6">
      <c r="A607" s="8" t="str">
        <f>"2020892105"</f>
        <v>2020892105</v>
      </c>
      <c r="B607" s="9">
        <v>52</v>
      </c>
      <c r="C607" s="9">
        <f t="shared" si="27"/>
        <v>15.6</v>
      </c>
      <c r="D607" s="10">
        <v>81</v>
      </c>
      <c r="E607" s="9">
        <f t="shared" si="28"/>
        <v>56.7</v>
      </c>
      <c r="F607" s="9">
        <f t="shared" si="29"/>
        <v>72.3</v>
      </c>
    </row>
    <row r="608" s="1" customFormat="1" spans="1:6">
      <c r="A608" s="8" t="str">
        <f>"2020892106"</f>
        <v>2020892106</v>
      </c>
      <c r="B608" s="9">
        <v>45</v>
      </c>
      <c r="C608" s="9">
        <f t="shared" si="27"/>
        <v>13.5</v>
      </c>
      <c r="D608" s="10">
        <v>68</v>
      </c>
      <c r="E608" s="9">
        <f t="shared" si="28"/>
        <v>47.6</v>
      </c>
      <c r="F608" s="9">
        <f t="shared" si="29"/>
        <v>61.1</v>
      </c>
    </row>
    <row r="609" s="1" customFormat="1" spans="1:6">
      <c r="A609" s="8" t="str">
        <f>"2020892107"</f>
        <v>2020892107</v>
      </c>
      <c r="B609" s="9">
        <v>79</v>
      </c>
      <c r="C609" s="9">
        <f t="shared" si="27"/>
        <v>23.7</v>
      </c>
      <c r="D609" s="10">
        <v>86</v>
      </c>
      <c r="E609" s="9">
        <f t="shared" si="28"/>
        <v>60.2</v>
      </c>
      <c r="F609" s="9">
        <f t="shared" si="29"/>
        <v>83.9</v>
      </c>
    </row>
    <row r="610" s="1" customFormat="1" spans="1:6">
      <c r="A610" s="8" t="str">
        <f>"2020892108"</f>
        <v>2020892108</v>
      </c>
      <c r="B610" s="9">
        <v>50</v>
      </c>
      <c r="C610" s="9">
        <f t="shared" si="27"/>
        <v>15</v>
      </c>
      <c r="D610" s="10">
        <v>80</v>
      </c>
      <c r="E610" s="9">
        <f t="shared" si="28"/>
        <v>56</v>
      </c>
      <c r="F610" s="9">
        <f t="shared" si="29"/>
        <v>71</v>
      </c>
    </row>
    <row r="611" s="1" customFormat="1" spans="1:6">
      <c r="A611" s="8" t="str">
        <f>"2020892109"</f>
        <v>2020892109</v>
      </c>
      <c r="B611" s="9">
        <v>52</v>
      </c>
      <c r="C611" s="9">
        <f t="shared" si="27"/>
        <v>15.6</v>
      </c>
      <c r="D611" s="10">
        <v>91</v>
      </c>
      <c r="E611" s="9">
        <f t="shared" si="28"/>
        <v>63.7</v>
      </c>
      <c r="F611" s="9">
        <f t="shared" si="29"/>
        <v>79.3</v>
      </c>
    </row>
    <row r="612" s="1" customFormat="1" spans="1:6">
      <c r="A612" s="8" t="str">
        <f>"2020892110"</f>
        <v>2020892110</v>
      </c>
      <c r="B612" s="9">
        <v>0</v>
      </c>
      <c r="C612" s="9">
        <f t="shared" si="27"/>
        <v>0</v>
      </c>
      <c r="D612" s="10">
        <v>0</v>
      </c>
      <c r="E612" s="9">
        <f t="shared" si="28"/>
        <v>0</v>
      </c>
      <c r="F612" s="9">
        <f t="shared" si="29"/>
        <v>0</v>
      </c>
    </row>
    <row r="613" s="1" customFormat="1" spans="1:6">
      <c r="A613" s="8" t="str">
        <f>"2020892111"</f>
        <v>2020892111</v>
      </c>
      <c r="B613" s="9">
        <v>65</v>
      </c>
      <c r="C613" s="9">
        <f t="shared" si="27"/>
        <v>19.5</v>
      </c>
      <c r="D613" s="10">
        <v>57</v>
      </c>
      <c r="E613" s="9">
        <f t="shared" si="28"/>
        <v>39.9</v>
      </c>
      <c r="F613" s="9">
        <f t="shared" si="29"/>
        <v>59.4</v>
      </c>
    </row>
    <row r="614" s="1" customFormat="1" spans="1:6">
      <c r="A614" s="8" t="str">
        <f>"2020892112"</f>
        <v>2020892112</v>
      </c>
      <c r="B614" s="9">
        <v>59</v>
      </c>
      <c r="C614" s="9">
        <f t="shared" si="27"/>
        <v>17.7</v>
      </c>
      <c r="D614" s="10">
        <v>81</v>
      </c>
      <c r="E614" s="9">
        <f t="shared" si="28"/>
        <v>56.7</v>
      </c>
      <c r="F614" s="9">
        <f t="shared" si="29"/>
        <v>74.4</v>
      </c>
    </row>
    <row r="615" s="1" customFormat="1" spans="1:6">
      <c r="A615" s="8" t="str">
        <f>"2020892113"</f>
        <v>2020892113</v>
      </c>
      <c r="B615" s="9">
        <v>61</v>
      </c>
      <c r="C615" s="9">
        <f t="shared" si="27"/>
        <v>18.3</v>
      </c>
      <c r="D615" s="10">
        <v>77</v>
      </c>
      <c r="E615" s="9">
        <f t="shared" si="28"/>
        <v>53.9</v>
      </c>
      <c r="F615" s="9">
        <f t="shared" si="29"/>
        <v>72.2</v>
      </c>
    </row>
    <row r="616" s="1" customFormat="1" spans="1:6">
      <c r="A616" s="8" t="str">
        <f>"2020892114"</f>
        <v>2020892114</v>
      </c>
      <c r="B616" s="9">
        <v>71</v>
      </c>
      <c r="C616" s="9">
        <f t="shared" si="27"/>
        <v>21.3</v>
      </c>
      <c r="D616" s="10">
        <v>89</v>
      </c>
      <c r="E616" s="9">
        <f t="shared" si="28"/>
        <v>62.3</v>
      </c>
      <c r="F616" s="9">
        <f t="shared" si="29"/>
        <v>83.6</v>
      </c>
    </row>
    <row r="617" s="1" customFormat="1" spans="1:6">
      <c r="A617" s="8" t="str">
        <f>"2020892115"</f>
        <v>2020892115</v>
      </c>
      <c r="B617" s="9">
        <v>65</v>
      </c>
      <c r="C617" s="9">
        <f t="shared" si="27"/>
        <v>19.5</v>
      </c>
      <c r="D617" s="10">
        <v>86</v>
      </c>
      <c r="E617" s="9">
        <f t="shared" si="28"/>
        <v>60.2</v>
      </c>
      <c r="F617" s="9">
        <f t="shared" si="29"/>
        <v>79.7</v>
      </c>
    </row>
    <row r="618" s="1" customFormat="1" spans="1:6">
      <c r="A618" s="8" t="str">
        <f>"2020892116"</f>
        <v>2020892116</v>
      </c>
      <c r="B618" s="9">
        <v>64</v>
      </c>
      <c r="C618" s="9">
        <f t="shared" si="27"/>
        <v>19.2</v>
      </c>
      <c r="D618" s="10">
        <v>92</v>
      </c>
      <c r="E618" s="9">
        <f t="shared" si="28"/>
        <v>64.4</v>
      </c>
      <c r="F618" s="9">
        <f t="shared" si="29"/>
        <v>83.6</v>
      </c>
    </row>
    <row r="619" s="1" customFormat="1" spans="1:6">
      <c r="A619" s="8" t="str">
        <f>"2020892117"</f>
        <v>2020892117</v>
      </c>
      <c r="B619" s="9">
        <v>0</v>
      </c>
      <c r="C619" s="9">
        <f t="shared" si="27"/>
        <v>0</v>
      </c>
      <c r="D619" s="10">
        <v>0</v>
      </c>
      <c r="E619" s="9">
        <f t="shared" si="28"/>
        <v>0</v>
      </c>
      <c r="F619" s="9">
        <f t="shared" si="29"/>
        <v>0</v>
      </c>
    </row>
    <row r="620" s="1" customFormat="1" spans="1:6">
      <c r="A620" s="8" t="str">
        <f>"2020892118"</f>
        <v>2020892118</v>
      </c>
      <c r="B620" s="9">
        <v>62</v>
      </c>
      <c r="C620" s="9">
        <f t="shared" si="27"/>
        <v>18.6</v>
      </c>
      <c r="D620" s="10">
        <v>80</v>
      </c>
      <c r="E620" s="9">
        <f t="shared" si="28"/>
        <v>56</v>
      </c>
      <c r="F620" s="9">
        <f t="shared" si="29"/>
        <v>74.6</v>
      </c>
    </row>
    <row r="621" s="1" customFormat="1" spans="1:6">
      <c r="A621" s="8" t="str">
        <f>"2020892119"</f>
        <v>2020892119</v>
      </c>
      <c r="B621" s="9">
        <v>68</v>
      </c>
      <c r="C621" s="9">
        <f t="shared" si="27"/>
        <v>20.4</v>
      </c>
      <c r="D621" s="10">
        <v>72</v>
      </c>
      <c r="E621" s="9">
        <f t="shared" si="28"/>
        <v>50.4</v>
      </c>
      <c r="F621" s="9">
        <f t="shared" si="29"/>
        <v>70.8</v>
      </c>
    </row>
    <row r="622" s="1" customFormat="1" spans="1:6">
      <c r="A622" s="8" t="str">
        <f>"2020892120"</f>
        <v>2020892120</v>
      </c>
      <c r="B622" s="9">
        <v>0</v>
      </c>
      <c r="C622" s="9">
        <f t="shared" si="27"/>
        <v>0</v>
      </c>
      <c r="D622" s="10">
        <v>0</v>
      </c>
      <c r="E622" s="9">
        <f t="shared" si="28"/>
        <v>0</v>
      </c>
      <c r="F622" s="9">
        <f t="shared" si="29"/>
        <v>0</v>
      </c>
    </row>
    <row r="623" s="1" customFormat="1" spans="1:6">
      <c r="A623" s="8" t="str">
        <f>"2020892121"</f>
        <v>2020892121</v>
      </c>
      <c r="B623" s="9">
        <v>70</v>
      </c>
      <c r="C623" s="9">
        <f t="shared" si="27"/>
        <v>21</v>
      </c>
      <c r="D623" s="10">
        <v>89</v>
      </c>
      <c r="E623" s="9">
        <f t="shared" si="28"/>
        <v>62.3</v>
      </c>
      <c r="F623" s="9">
        <f t="shared" si="29"/>
        <v>83.3</v>
      </c>
    </row>
    <row r="624" s="1" customFormat="1" spans="1:6">
      <c r="A624" s="8" t="str">
        <f>"2020892122"</f>
        <v>2020892122</v>
      </c>
      <c r="B624" s="9">
        <v>63</v>
      </c>
      <c r="C624" s="9">
        <f t="shared" si="27"/>
        <v>18.9</v>
      </c>
      <c r="D624" s="10">
        <v>78</v>
      </c>
      <c r="E624" s="9">
        <f t="shared" si="28"/>
        <v>54.6</v>
      </c>
      <c r="F624" s="9">
        <f t="shared" si="29"/>
        <v>73.5</v>
      </c>
    </row>
    <row r="625" s="1" customFormat="1" spans="1:6">
      <c r="A625" s="8" t="str">
        <f>"2020892123"</f>
        <v>2020892123</v>
      </c>
      <c r="B625" s="9">
        <v>68</v>
      </c>
      <c r="C625" s="9">
        <f t="shared" si="27"/>
        <v>20.4</v>
      </c>
      <c r="D625" s="10">
        <v>87</v>
      </c>
      <c r="E625" s="9">
        <f t="shared" si="28"/>
        <v>60.9</v>
      </c>
      <c r="F625" s="9">
        <f t="shared" si="29"/>
        <v>81.3</v>
      </c>
    </row>
    <row r="626" s="1" customFormat="1" spans="1:6">
      <c r="A626" s="8" t="str">
        <f>"2020892124"</f>
        <v>2020892124</v>
      </c>
      <c r="B626" s="9">
        <v>66</v>
      </c>
      <c r="C626" s="9">
        <f t="shared" si="27"/>
        <v>19.8</v>
      </c>
      <c r="D626" s="10">
        <v>88</v>
      </c>
      <c r="E626" s="9">
        <f t="shared" si="28"/>
        <v>61.6</v>
      </c>
      <c r="F626" s="9">
        <f t="shared" si="29"/>
        <v>81.4</v>
      </c>
    </row>
    <row r="627" s="1" customFormat="1" spans="1:6">
      <c r="A627" s="8" t="str">
        <f>"2020892125"</f>
        <v>2020892125</v>
      </c>
      <c r="B627" s="9">
        <v>57</v>
      </c>
      <c r="C627" s="9">
        <f t="shared" si="27"/>
        <v>17.1</v>
      </c>
      <c r="D627" s="10">
        <v>92</v>
      </c>
      <c r="E627" s="9">
        <f t="shared" si="28"/>
        <v>64.4</v>
      </c>
      <c r="F627" s="9">
        <f t="shared" si="29"/>
        <v>81.5</v>
      </c>
    </row>
    <row r="628" s="1" customFormat="1" spans="1:6">
      <c r="A628" s="8" t="str">
        <f>"2020892126"</f>
        <v>2020892126</v>
      </c>
      <c r="B628" s="9">
        <v>74</v>
      </c>
      <c r="C628" s="9">
        <f t="shared" si="27"/>
        <v>22.2</v>
      </c>
      <c r="D628" s="10">
        <v>67</v>
      </c>
      <c r="E628" s="9">
        <f t="shared" si="28"/>
        <v>46.9</v>
      </c>
      <c r="F628" s="9">
        <f t="shared" si="29"/>
        <v>69.1</v>
      </c>
    </row>
    <row r="629" s="1" customFormat="1" spans="1:6">
      <c r="A629" s="8" t="str">
        <f>"2020892127"</f>
        <v>2020892127</v>
      </c>
      <c r="B629" s="9">
        <v>71</v>
      </c>
      <c r="C629" s="9">
        <f t="shared" si="27"/>
        <v>21.3</v>
      </c>
      <c r="D629" s="10">
        <v>85</v>
      </c>
      <c r="E629" s="9">
        <f t="shared" si="28"/>
        <v>59.5</v>
      </c>
      <c r="F629" s="9">
        <f t="shared" si="29"/>
        <v>80.8</v>
      </c>
    </row>
    <row r="630" s="1" customFormat="1" spans="1:6">
      <c r="A630" s="8" t="str">
        <f>"2020892128"</f>
        <v>2020892128</v>
      </c>
      <c r="B630" s="9">
        <v>69</v>
      </c>
      <c r="C630" s="9">
        <f t="shared" si="27"/>
        <v>20.7</v>
      </c>
      <c r="D630" s="10">
        <v>83</v>
      </c>
      <c r="E630" s="9">
        <f t="shared" si="28"/>
        <v>58.1</v>
      </c>
      <c r="F630" s="9">
        <f t="shared" si="29"/>
        <v>78.8</v>
      </c>
    </row>
    <row r="631" s="1" customFormat="1" spans="1:6">
      <c r="A631" s="8" t="str">
        <f>"2020892129"</f>
        <v>2020892129</v>
      </c>
      <c r="B631" s="9">
        <v>0</v>
      </c>
      <c r="C631" s="9">
        <f t="shared" si="27"/>
        <v>0</v>
      </c>
      <c r="D631" s="10">
        <v>0</v>
      </c>
      <c r="E631" s="9">
        <f t="shared" si="28"/>
        <v>0</v>
      </c>
      <c r="F631" s="9">
        <f t="shared" si="29"/>
        <v>0</v>
      </c>
    </row>
    <row r="632" s="1" customFormat="1" spans="1:6">
      <c r="A632" s="8" t="str">
        <f>"2020892130"</f>
        <v>2020892130</v>
      </c>
      <c r="B632" s="9">
        <v>59</v>
      </c>
      <c r="C632" s="9">
        <f t="shared" si="27"/>
        <v>17.7</v>
      </c>
      <c r="D632" s="10">
        <v>80</v>
      </c>
      <c r="E632" s="9">
        <f t="shared" si="28"/>
        <v>56</v>
      </c>
      <c r="F632" s="9">
        <f t="shared" si="29"/>
        <v>73.7</v>
      </c>
    </row>
    <row r="633" s="1" customFormat="1" spans="1:6">
      <c r="A633" s="8" t="str">
        <f>"2020892201"</f>
        <v>2020892201</v>
      </c>
      <c r="B633" s="9">
        <v>80</v>
      </c>
      <c r="C633" s="9">
        <f t="shared" si="27"/>
        <v>24</v>
      </c>
      <c r="D633" s="10">
        <v>79</v>
      </c>
      <c r="E633" s="9">
        <f t="shared" si="28"/>
        <v>55.3</v>
      </c>
      <c r="F633" s="9">
        <f t="shared" si="29"/>
        <v>79.3</v>
      </c>
    </row>
    <row r="634" s="1" customFormat="1" spans="1:6">
      <c r="A634" s="8" t="str">
        <f>"2020892202"</f>
        <v>2020892202</v>
      </c>
      <c r="B634" s="9">
        <v>68</v>
      </c>
      <c r="C634" s="9">
        <f t="shared" si="27"/>
        <v>20.4</v>
      </c>
      <c r="D634" s="10">
        <v>74</v>
      </c>
      <c r="E634" s="9">
        <f t="shared" si="28"/>
        <v>51.8</v>
      </c>
      <c r="F634" s="9">
        <f t="shared" si="29"/>
        <v>72.2</v>
      </c>
    </row>
    <row r="635" s="1" customFormat="1" spans="1:6">
      <c r="A635" s="8" t="str">
        <f>"2020892203"</f>
        <v>2020892203</v>
      </c>
      <c r="B635" s="9">
        <v>69</v>
      </c>
      <c r="C635" s="9">
        <f t="shared" si="27"/>
        <v>20.7</v>
      </c>
      <c r="D635" s="10">
        <v>81</v>
      </c>
      <c r="E635" s="9">
        <f t="shared" si="28"/>
        <v>56.7</v>
      </c>
      <c r="F635" s="9">
        <f t="shared" si="29"/>
        <v>77.4</v>
      </c>
    </row>
    <row r="636" s="1" customFormat="1" spans="1:6">
      <c r="A636" s="8" t="str">
        <f>"2020892204"</f>
        <v>2020892204</v>
      </c>
      <c r="B636" s="9">
        <v>79</v>
      </c>
      <c r="C636" s="9">
        <f t="shared" si="27"/>
        <v>23.7</v>
      </c>
      <c r="D636" s="10">
        <v>91</v>
      </c>
      <c r="E636" s="9">
        <f t="shared" si="28"/>
        <v>63.7</v>
      </c>
      <c r="F636" s="9">
        <f t="shared" si="29"/>
        <v>87.4</v>
      </c>
    </row>
    <row r="637" s="1" customFormat="1" spans="1:6">
      <c r="A637" s="8" t="str">
        <f>"2020892205"</f>
        <v>2020892205</v>
      </c>
      <c r="B637" s="9">
        <v>65</v>
      </c>
      <c r="C637" s="9">
        <f t="shared" si="27"/>
        <v>19.5</v>
      </c>
      <c r="D637" s="10">
        <v>92</v>
      </c>
      <c r="E637" s="9">
        <f t="shared" si="28"/>
        <v>64.4</v>
      </c>
      <c r="F637" s="9">
        <f t="shared" si="29"/>
        <v>83.9</v>
      </c>
    </row>
    <row r="638" s="1" customFormat="1" spans="1:6">
      <c r="A638" s="8" t="str">
        <f>"2020892206"</f>
        <v>2020892206</v>
      </c>
      <c r="B638" s="9">
        <v>66</v>
      </c>
      <c r="C638" s="9">
        <f t="shared" si="27"/>
        <v>19.8</v>
      </c>
      <c r="D638" s="10">
        <v>73</v>
      </c>
      <c r="E638" s="9">
        <f t="shared" si="28"/>
        <v>51.1</v>
      </c>
      <c r="F638" s="9">
        <f t="shared" si="29"/>
        <v>70.9</v>
      </c>
    </row>
    <row r="639" s="1" customFormat="1" spans="1:6">
      <c r="A639" s="8" t="str">
        <f>"2020892207"</f>
        <v>2020892207</v>
      </c>
      <c r="B639" s="9">
        <v>71</v>
      </c>
      <c r="C639" s="9">
        <f t="shared" si="27"/>
        <v>21.3</v>
      </c>
      <c r="D639" s="10">
        <v>70</v>
      </c>
      <c r="E639" s="9">
        <f t="shared" si="28"/>
        <v>49</v>
      </c>
      <c r="F639" s="9">
        <f t="shared" si="29"/>
        <v>70.3</v>
      </c>
    </row>
    <row r="640" s="1" customFormat="1" spans="1:6">
      <c r="A640" s="8" t="str">
        <f>"2020892208"</f>
        <v>2020892208</v>
      </c>
      <c r="B640" s="9">
        <v>59</v>
      </c>
      <c r="C640" s="9">
        <f t="shared" si="27"/>
        <v>17.7</v>
      </c>
      <c r="D640" s="10">
        <v>82</v>
      </c>
      <c r="E640" s="9">
        <f t="shared" si="28"/>
        <v>57.4</v>
      </c>
      <c r="F640" s="9">
        <f t="shared" si="29"/>
        <v>75.1</v>
      </c>
    </row>
    <row r="641" s="1" customFormat="1" spans="1:6">
      <c r="A641" s="8" t="str">
        <f>"2020892209"</f>
        <v>2020892209</v>
      </c>
      <c r="B641" s="9">
        <v>69</v>
      </c>
      <c r="C641" s="9">
        <f t="shared" si="27"/>
        <v>20.7</v>
      </c>
      <c r="D641" s="10">
        <v>85</v>
      </c>
      <c r="E641" s="9">
        <f t="shared" si="28"/>
        <v>59.5</v>
      </c>
      <c r="F641" s="9">
        <f t="shared" si="29"/>
        <v>80.2</v>
      </c>
    </row>
    <row r="642" s="1" customFormat="1" spans="1:6">
      <c r="A642" s="8" t="str">
        <f>"2020892210"</f>
        <v>2020892210</v>
      </c>
      <c r="B642" s="9">
        <v>59</v>
      </c>
      <c r="C642" s="9">
        <f t="shared" si="27"/>
        <v>17.7</v>
      </c>
      <c r="D642" s="10">
        <v>61</v>
      </c>
      <c r="E642" s="9">
        <f t="shared" si="28"/>
        <v>42.7</v>
      </c>
      <c r="F642" s="9">
        <f t="shared" si="29"/>
        <v>60.4</v>
      </c>
    </row>
    <row r="643" s="1" customFormat="1" spans="1:6">
      <c r="A643" s="8" t="str">
        <f>"2020892211"</f>
        <v>2020892211</v>
      </c>
      <c r="B643" s="9">
        <v>53</v>
      </c>
      <c r="C643" s="9">
        <f t="shared" ref="C643:C706" si="30">B643*0.3</f>
        <v>15.9</v>
      </c>
      <c r="D643" s="10">
        <v>88</v>
      </c>
      <c r="E643" s="9">
        <f t="shared" ref="E643:E706" si="31">D643*0.7</f>
        <v>61.6</v>
      </c>
      <c r="F643" s="9">
        <f t="shared" ref="F643:F706" si="32">C643+E643</f>
        <v>77.5</v>
      </c>
    </row>
    <row r="644" s="1" customFormat="1" spans="1:6">
      <c r="A644" s="8" t="str">
        <f>"2020892212"</f>
        <v>2020892212</v>
      </c>
      <c r="B644" s="9">
        <v>0</v>
      </c>
      <c r="C644" s="9">
        <f t="shared" si="30"/>
        <v>0</v>
      </c>
      <c r="D644" s="10">
        <v>0</v>
      </c>
      <c r="E644" s="9">
        <f t="shared" si="31"/>
        <v>0</v>
      </c>
      <c r="F644" s="9">
        <f t="shared" si="32"/>
        <v>0</v>
      </c>
    </row>
    <row r="645" s="1" customFormat="1" spans="1:6">
      <c r="A645" s="8" t="str">
        <f>"2020892213"</f>
        <v>2020892213</v>
      </c>
      <c r="B645" s="9">
        <v>61</v>
      </c>
      <c r="C645" s="9">
        <f t="shared" si="30"/>
        <v>18.3</v>
      </c>
      <c r="D645" s="10">
        <v>85</v>
      </c>
      <c r="E645" s="9">
        <f t="shared" si="31"/>
        <v>59.5</v>
      </c>
      <c r="F645" s="9">
        <f t="shared" si="32"/>
        <v>77.8</v>
      </c>
    </row>
    <row r="646" s="1" customFormat="1" spans="1:6">
      <c r="A646" s="8" t="str">
        <f>"2020892214"</f>
        <v>2020892214</v>
      </c>
      <c r="B646" s="9">
        <v>56</v>
      </c>
      <c r="C646" s="9">
        <f t="shared" si="30"/>
        <v>16.8</v>
      </c>
      <c r="D646" s="10">
        <v>80</v>
      </c>
      <c r="E646" s="9">
        <f t="shared" si="31"/>
        <v>56</v>
      </c>
      <c r="F646" s="9">
        <f t="shared" si="32"/>
        <v>72.8</v>
      </c>
    </row>
    <row r="647" s="1" customFormat="1" spans="1:6">
      <c r="A647" s="8" t="str">
        <f>"2020892215"</f>
        <v>2020892215</v>
      </c>
      <c r="B647" s="9">
        <v>76</v>
      </c>
      <c r="C647" s="9">
        <f t="shared" si="30"/>
        <v>22.8</v>
      </c>
      <c r="D647" s="10">
        <v>61</v>
      </c>
      <c r="E647" s="9">
        <f t="shared" si="31"/>
        <v>42.7</v>
      </c>
      <c r="F647" s="9">
        <f t="shared" si="32"/>
        <v>65.5</v>
      </c>
    </row>
    <row r="648" s="1" customFormat="1" spans="1:6">
      <c r="A648" s="8" t="str">
        <f>"2020892216"</f>
        <v>2020892216</v>
      </c>
      <c r="B648" s="9">
        <v>62</v>
      </c>
      <c r="C648" s="9">
        <f t="shared" si="30"/>
        <v>18.6</v>
      </c>
      <c r="D648" s="10">
        <v>83</v>
      </c>
      <c r="E648" s="9">
        <f t="shared" si="31"/>
        <v>58.1</v>
      </c>
      <c r="F648" s="9">
        <f t="shared" si="32"/>
        <v>76.7</v>
      </c>
    </row>
    <row r="649" s="1" customFormat="1" spans="1:6">
      <c r="A649" s="8" t="str">
        <f>"2020892217"</f>
        <v>2020892217</v>
      </c>
      <c r="B649" s="9">
        <v>62</v>
      </c>
      <c r="C649" s="9">
        <f t="shared" si="30"/>
        <v>18.6</v>
      </c>
      <c r="D649" s="10">
        <v>52</v>
      </c>
      <c r="E649" s="9">
        <f t="shared" si="31"/>
        <v>36.4</v>
      </c>
      <c r="F649" s="9">
        <f t="shared" si="32"/>
        <v>55</v>
      </c>
    </row>
    <row r="650" s="1" customFormat="1" spans="1:6">
      <c r="A650" s="8" t="str">
        <f>"2020892218"</f>
        <v>2020892218</v>
      </c>
      <c r="B650" s="9">
        <v>77</v>
      </c>
      <c r="C650" s="9">
        <f t="shared" si="30"/>
        <v>23.1</v>
      </c>
      <c r="D650" s="10">
        <v>80</v>
      </c>
      <c r="E650" s="9">
        <f t="shared" si="31"/>
        <v>56</v>
      </c>
      <c r="F650" s="9">
        <f t="shared" si="32"/>
        <v>79.1</v>
      </c>
    </row>
    <row r="651" s="1" customFormat="1" spans="1:6">
      <c r="A651" s="8" t="str">
        <f>"2020892219"</f>
        <v>2020892219</v>
      </c>
      <c r="B651" s="9">
        <v>0</v>
      </c>
      <c r="C651" s="9">
        <f t="shared" si="30"/>
        <v>0</v>
      </c>
      <c r="D651" s="10">
        <v>0</v>
      </c>
      <c r="E651" s="9">
        <f t="shared" si="31"/>
        <v>0</v>
      </c>
      <c r="F651" s="9">
        <f t="shared" si="32"/>
        <v>0</v>
      </c>
    </row>
    <row r="652" s="1" customFormat="1" spans="1:6">
      <c r="A652" s="8" t="str">
        <f>"2020892220"</f>
        <v>2020892220</v>
      </c>
      <c r="B652" s="9">
        <v>0</v>
      </c>
      <c r="C652" s="9">
        <f t="shared" si="30"/>
        <v>0</v>
      </c>
      <c r="D652" s="10">
        <v>0</v>
      </c>
      <c r="E652" s="9">
        <f t="shared" si="31"/>
        <v>0</v>
      </c>
      <c r="F652" s="9">
        <f t="shared" si="32"/>
        <v>0</v>
      </c>
    </row>
    <row r="653" s="1" customFormat="1" spans="1:6">
      <c r="A653" s="8" t="str">
        <f>"2020892221"</f>
        <v>2020892221</v>
      </c>
      <c r="B653" s="9">
        <v>69</v>
      </c>
      <c r="C653" s="9">
        <f t="shared" si="30"/>
        <v>20.7</v>
      </c>
      <c r="D653" s="10">
        <v>83</v>
      </c>
      <c r="E653" s="9">
        <f t="shared" si="31"/>
        <v>58.1</v>
      </c>
      <c r="F653" s="9">
        <f t="shared" si="32"/>
        <v>78.8</v>
      </c>
    </row>
    <row r="654" s="1" customFormat="1" spans="1:6">
      <c r="A654" s="8" t="str">
        <f>"2020892222"</f>
        <v>2020892222</v>
      </c>
      <c r="B654" s="9">
        <v>74</v>
      </c>
      <c r="C654" s="9">
        <f t="shared" si="30"/>
        <v>22.2</v>
      </c>
      <c r="D654" s="10">
        <v>84</v>
      </c>
      <c r="E654" s="9">
        <f t="shared" si="31"/>
        <v>58.8</v>
      </c>
      <c r="F654" s="9">
        <f t="shared" si="32"/>
        <v>81</v>
      </c>
    </row>
    <row r="655" s="1" customFormat="1" spans="1:6">
      <c r="A655" s="8" t="str">
        <f>"2020892223"</f>
        <v>2020892223</v>
      </c>
      <c r="B655" s="9">
        <v>74</v>
      </c>
      <c r="C655" s="9">
        <f t="shared" si="30"/>
        <v>22.2</v>
      </c>
      <c r="D655" s="10">
        <v>86</v>
      </c>
      <c r="E655" s="9">
        <f t="shared" si="31"/>
        <v>60.2</v>
      </c>
      <c r="F655" s="9">
        <f t="shared" si="32"/>
        <v>82.4</v>
      </c>
    </row>
    <row r="656" s="1" customFormat="1" spans="1:6">
      <c r="A656" s="8" t="str">
        <f>"2020892224"</f>
        <v>2020892224</v>
      </c>
      <c r="B656" s="9">
        <v>0</v>
      </c>
      <c r="C656" s="9">
        <f t="shared" si="30"/>
        <v>0</v>
      </c>
      <c r="D656" s="10">
        <v>0</v>
      </c>
      <c r="E656" s="9">
        <f t="shared" si="31"/>
        <v>0</v>
      </c>
      <c r="F656" s="9">
        <f t="shared" si="32"/>
        <v>0</v>
      </c>
    </row>
    <row r="657" s="1" customFormat="1" spans="1:6">
      <c r="A657" s="8" t="str">
        <f>"2020892225"</f>
        <v>2020892225</v>
      </c>
      <c r="B657" s="9">
        <v>52</v>
      </c>
      <c r="C657" s="9">
        <f t="shared" si="30"/>
        <v>15.6</v>
      </c>
      <c r="D657" s="10">
        <v>91</v>
      </c>
      <c r="E657" s="9">
        <f t="shared" si="31"/>
        <v>63.7</v>
      </c>
      <c r="F657" s="9">
        <f t="shared" si="32"/>
        <v>79.3</v>
      </c>
    </row>
    <row r="658" s="1" customFormat="1" spans="1:6">
      <c r="A658" s="8" t="str">
        <f>"2020892226"</f>
        <v>2020892226</v>
      </c>
      <c r="B658" s="9">
        <v>0</v>
      </c>
      <c r="C658" s="9">
        <f t="shared" si="30"/>
        <v>0</v>
      </c>
      <c r="D658" s="10">
        <v>0</v>
      </c>
      <c r="E658" s="9">
        <f t="shared" si="31"/>
        <v>0</v>
      </c>
      <c r="F658" s="9">
        <f t="shared" si="32"/>
        <v>0</v>
      </c>
    </row>
    <row r="659" s="1" customFormat="1" spans="1:6">
      <c r="A659" s="8" t="str">
        <f>"2020892227"</f>
        <v>2020892227</v>
      </c>
      <c r="B659" s="9">
        <v>71</v>
      </c>
      <c r="C659" s="9">
        <f t="shared" si="30"/>
        <v>21.3</v>
      </c>
      <c r="D659" s="10">
        <v>74</v>
      </c>
      <c r="E659" s="9">
        <f t="shared" si="31"/>
        <v>51.8</v>
      </c>
      <c r="F659" s="9">
        <f t="shared" si="32"/>
        <v>73.1</v>
      </c>
    </row>
    <row r="660" s="1" customFormat="1" spans="1:6">
      <c r="A660" s="8" t="str">
        <f>"2020892228"</f>
        <v>2020892228</v>
      </c>
      <c r="B660" s="9">
        <v>73</v>
      </c>
      <c r="C660" s="9">
        <f t="shared" si="30"/>
        <v>21.9</v>
      </c>
      <c r="D660" s="10">
        <v>63</v>
      </c>
      <c r="E660" s="9">
        <f t="shared" si="31"/>
        <v>44.1</v>
      </c>
      <c r="F660" s="9">
        <f t="shared" si="32"/>
        <v>66</v>
      </c>
    </row>
    <row r="661" s="1" customFormat="1" spans="1:6">
      <c r="A661" s="8" t="str">
        <f>"2020892229"</f>
        <v>2020892229</v>
      </c>
      <c r="B661" s="9">
        <v>0</v>
      </c>
      <c r="C661" s="9">
        <f t="shared" si="30"/>
        <v>0</v>
      </c>
      <c r="D661" s="10">
        <v>0</v>
      </c>
      <c r="E661" s="9">
        <f t="shared" si="31"/>
        <v>0</v>
      </c>
      <c r="F661" s="9">
        <f t="shared" si="32"/>
        <v>0</v>
      </c>
    </row>
    <row r="662" s="1" customFormat="1" spans="1:6">
      <c r="A662" s="8" t="str">
        <f>"2020892230"</f>
        <v>2020892230</v>
      </c>
      <c r="B662" s="9">
        <v>0</v>
      </c>
      <c r="C662" s="9">
        <f t="shared" si="30"/>
        <v>0</v>
      </c>
      <c r="D662" s="10">
        <v>0</v>
      </c>
      <c r="E662" s="9">
        <f t="shared" si="31"/>
        <v>0</v>
      </c>
      <c r="F662" s="9">
        <f t="shared" si="32"/>
        <v>0</v>
      </c>
    </row>
    <row r="663" s="1" customFormat="1" spans="1:6">
      <c r="A663" s="8" t="str">
        <f>"2020892301"</f>
        <v>2020892301</v>
      </c>
      <c r="B663" s="9">
        <v>57</v>
      </c>
      <c r="C663" s="9">
        <f t="shared" si="30"/>
        <v>17.1</v>
      </c>
      <c r="D663" s="10">
        <v>82</v>
      </c>
      <c r="E663" s="9">
        <f t="shared" si="31"/>
        <v>57.4</v>
      </c>
      <c r="F663" s="9">
        <f t="shared" si="32"/>
        <v>74.5</v>
      </c>
    </row>
    <row r="664" s="1" customFormat="1" spans="1:6">
      <c r="A664" s="8" t="str">
        <f>"2020892302"</f>
        <v>2020892302</v>
      </c>
      <c r="B664" s="9">
        <v>0</v>
      </c>
      <c r="C664" s="9">
        <f t="shared" si="30"/>
        <v>0</v>
      </c>
      <c r="D664" s="10">
        <v>0</v>
      </c>
      <c r="E664" s="9">
        <f t="shared" si="31"/>
        <v>0</v>
      </c>
      <c r="F664" s="9">
        <f t="shared" si="32"/>
        <v>0</v>
      </c>
    </row>
    <row r="665" s="1" customFormat="1" spans="1:6">
      <c r="A665" s="8" t="str">
        <f>"2020892303"</f>
        <v>2020892303</v>
      </c>
      <c r="B665" s="9">
        <v>57</v>
      </c>
      <c r="C665" s="9">
        <f t="shared" si="30"/>
        <v>17.1</v>
      </c>
      <c r="D665" s="10">
        <v>71</v>
      </c>
      <c r="E665" s="9">
        <f t="shared" si="31"/>
        <v>49.7</v>
      </c>
      <c r="F665" s="9">
        <f t="shared" si="32"/>
        <v>66.8</v>
      </c>
    </row>
    <row r="666" s="1" customFormat="1" spans="1:6">
      <c r="A666" s="8" t="str">
        <f>"2020892304"</f>
        <v>2020892304</v>
      </c>
      <c r="B666" s="9">
        <v>58</v>
      </c>
      <c r="C666" s="9">
        <f t="shared" si="30"/>
        <v>17.4</v>
      </c>
      <c r="D666" s="10">
        <v>72</v>
      </c>
      <c r="E666" s="9">
        <f t="shared" si="31"/>
        <v>50.4</v>
      </c>
      <c r="F666" s="9">
        <f t="shared" si="32"/>
        <v>67.8</v>
      </c>
    </row>
    <row r="667" s="1" customFormat="1" spans="1:6">
      <c r="A667" s="8" t="str">
        <f>"2020892305"</f>
        <v>2020892305</v>
      </c>
      <c r="B667" s="9">
        <v>68</v>
      </c>
      <c r="C667" s="9">
        <f t="shared" si="30"/>
        <v>20.4</v>
      </c>
      <c r="D667" s="10">
        <v>83</v>
      </c>
      <c r="E667" s="9">
        <f t="shared" si="31"/>
        <v>58.1</v>
      </c>
      <c r="F667" s="9">
        <f t="shared" si="32"/>
        <v>78.5</v>
      </c>
    </row>
    <row r="668" s="1" customFormat="1" spans="1:6">
      <c r="A668" s="8" t="str">
        <f>"2020892306"</f>
        <v>2020892306</v>
      </c>
      <c r="B668" s="9">
        <v>57</v>
      </c>
      <c r="C668" s="9">
        <f t="shared" si="30"/>
        <v>17.1</v>
      </c>
      <c r="D668" s="10">
        <v>75</v>
      </c>
      <c r="E668" s="9">
        <f t="shared" si="31"/>
        <v>52.5</v>
      </c>
      <c r="F668" s="9">
        <f t="shared" si="32"/>
        <v>69.6</v>
      </c>
    </row>
    <row r="669" s="1" customFormat="1" spans="1:6">
      <c r="A669" s="8" t="str">
        <f>"2020892307"</f>
        <v>2020892307</v>
      </c>
      <c r="B669" s="9">
        <v>63</v>
      </c>
      <c r="C669" s="9">
        <f t="shared" si="30"/>
        <v>18.9</v>
      </c>
      <c r="D669" s="10">
        <v>68</v>
      </c>
      <c r="E669" s="9">
        <f t="shared" si="31"/>
        <v>47.6</v>
      </c>
      <c r="F669" s="9">
        <f t="shared" si="32"/>
        <v>66.5</v>
      </c>
    </row>
    <row r="670" s="1" customFormat="1" spans="1:6">
      <c r="A670" s="8" t="str">
        <f>"2020892308"</f>
        <v>2020892308</v>
      </c>
      <c r="B670" s="9">
        <v>66</v>
      </c>
      <c r="C670" s="9">
        <f t="shared" si="30"/>
        <v>19.8</v>
      </c>
      <c r="D670" s="10">
        <v>82</v>
      </c>
      <c r="E670" s="9">
        <f t="shared" si="31"/>
        <v>57.4</v>
      </c>
      <c r="F670" s="9">
        <f t="shared" si="32"/>
        <v>77.2</v>
      </c>
    </row>
    <row r="671" s="1" customFormat="1" spans="1:6">
      <c r="A671" s="8" t="str">
        <f>"2020892309"</f>
        <v>2020892309</v>
      </c>
      <c r="B671" s="9">
        <v>60</v>
      </c>
      <c r="C671" s="9">
        <f t="shared" si="30"/>
        <v>18</v>
      </c>
      <c r="D671" s="10">
        <v>82</v>
      </c>
      <c r="E671" s="9">
        <f t="shared" si="31"/>
        <v>57.4</v>
      </c>
      <c r="F671" s="9">
        <f t="shared" si="32"/>
        <v>75.4</v>
      </c>
    </row>
    <row r="672" s="1" customFormat="1" spans="1:6">
      <c r="A672" s="8" t="str">
        <f>"2020892310"</f>
        <v>2020892310</v>
      </c>
      <c r="B672" s="9">
        <v>0</v>
      </c>
      <c r="C672" s="9">
        <f t="shared" si="30"/>
        <v>0</v>
      </c>
      <c r="D672" s="10">
        <v>0</v>
      </c>
      <c r="E672" s="9">
        <f t="shared" si="31"/>
        <v>0</v>
      </c>
      <c r="F672" s="9">
        <f t="shared" si="32"/>
        <v>0</v>
      </c>
    </row>
    <row r="673" s="1" customFormat="1" spans="1:6">
      <c r="A673" s="8" t="str">
        <f>"2020892311"</f>
        <v>2020892311</v>
      </c>
      <c r="B673" s="9">
        <v>57</v>
      </c>
      <c r="C673" s="9">
        <f t="shared" si="30"/>
        <v>17.1</v>
      </c>
      <c r="D673" s="10">
        <v>75</v>
      </c>
      <c r="E673" s="9">
        <f t="shared" si="31"/>
        <v>52.5</v>
      </c>
      <c r="F673" s="9">
        <f t="shared" si="32"/>
        <v>69.6</v>
      </c>
    </row>
    <row r="674" s="1" customFormat="1" spans="1:6">
      <c r="A674" s="8" t="str">
        <f>"2020892312"</f>
        <v>2020892312</v>
      </c>
      <c r="B674" s="9">
        <v>66</v>
      </c>
      <c r="C674" s="9">
        <f t="shared" si="30"/>
        <v>19.8</v>
      </c>
      <c r="D674" s="10">
        <v>76</v>
      </c>
      <c r="E674" s="9">
        <f t="shared" si="31"/>
        <v>53.2</v>
      </c>
      <c r="F674" s="9">
        <f t="shared" si="32"/>
        <v>73</v>
      </c>
    </row>
    <row r="675" s="1" customFormat="1" spans="1:6">
      <c r="A675" s="8" t="str">
        <f>"2020892313"</f>
        <v>2020892313</v>
      </c>
      <c r="B675" s="9">
        <v>69</v>
      </c>
      <c r="C675" s="9">
        <f t="shared" si="30"/>
        <v>20.7</v>
      </c>
      <c r="D675" s="10">
        <v>96</v>
      </c>
      <c r="E675" s="9">
        <f t="shared" si="31"/>
        <v>67.2</v>
      </c>
      <c r="F675" s="9">
        <f t="shared" si="32"/>
        <v>87.9</v>
      </c>
    </row>
    <row r="676" s="1" customFormat="1" spans="1:6">
      <c r="A676" s="8" t="str">
        <f>"2020892314"</f>
        <v>2020892314</v>
      </c>
      <c r="B676" s="9">
        <v>72</v>
      </c>
      <c r="C676" s="9">
        <f t="shared" si="30"/>
        <v>21.6</v>
      </c>
      <c r="D676" s="10">
        <v>82</v>
      </c>
      <c r="E676" s="9">
        <f t="shared" si="31"/>
        <v>57.4</v>
      </c>
      <c r="F676" s="9">
        <f t="shared" si="32"/>
        <v>79</v>
      </c>
    </row>
    <row r="677" s="1" customFormat="1" spans="1:6">
      <c r="A677" s="8" t="str">
        <f>"2020892315"</f>
        <v>2020892315</v>
      </c>
      <c r="B677" s="9">
        <v>44</v>
      </c>
      <c r="C677" s="9">
        <f t="shared" si="30"/>
        <v>13.2</v>
      </c>
      <c r="D677" s="10">
        <v>84</v>
      </c>
      <c r="E677" s="9">
        <f t="shared" si="31"/>
        <v>58.8</v>
      </c>
      <c r="F677" s="9">
        <f t="shared" si="32"/>
        <v>72</v>
      </c>
    </row>
    <row r="678" s="1" customFormat="1" spans="1:6">
      <c r="A678" s="8" t="str">
        <f>"2020892316"</f>
        <v>2020892316</v>
      </c>
      <c r="B678" s="9">
        <v>70</v>
      </c>
      <c r="C678" s="9">
        <f t="shared" si="30"/>
        <v>21</v>
      </c>
      <c r="D678" s="10">
        <v>83</v>
      </c>
      <c r="E678" s="9">
        <f t="shared" si="31"/>
        <v>58.1</v>
      </c>
      <c r="F678" s="9">
        <f t="shared" si="32"/>
        <v>79.1</v>
      </c>
    </row>
    <row r="679" s="1" customFormat="1" spans="1:6">
      <c r="A679" s="8" t="str">
        <f>"2020892317"</f>
        <v>2020892317</v>
      </c>
      <c r="B679" s="9">
        <v>65</v>
      </c>
      <c r="C679" s="9">
        <f t="shared" si="30"/>
        <v>19.5</v>
      </c>
      <c r="D679" s="10">
        <v>65</v>
      </c>
      <c r="E679" s="9">
        <f t="shared" si="31"/>
        <v>45.5</v>
      </c>
      <c r="F679" s="9">
        <f t="shared" si="32"/>
        <v>65</v>
      </c>
    </row>
    <row r="680" s="1" customFormat="1" spans="1:6">
      <c r="A680" s="8" t="str">
        <f>"2020892318"</f>
        <v>2020892318</v>
      </c>
      <c r="B680" s="9">
        <v>74</v>
      </c>
      <c r="C680" s="9">
        <f t="shared" si="30"/>
        <v>22.2</v>
      </c>
      <c r="D680" s="10">
        <v>91</v>
      </c>
      <c r="E680" s="9">
        <f t="shared" si="31"/>
        <v>63.7</v>
      </c>
      <c r="F680" s="9">
        <f t="shared" si="32"/>
        <v>85.9</v>
      </c>
    </row>
    <row r="681" s="1" customFormat="1" spans="1:6">
      <c r="A681" s="8" t="str">
        <f>"2020892319"</f>
        <v>2020892319</v>
      </c>
      <c r="B681" s="9">
        <v>68</v>
      </c>
      <c r="C681" s="9">
        <f t="shared" si="30"/>
        <v>20.4</v>
      </c>
      <c r="D681" s="10">
        <v>79</v>
      </c>
      <c r="E681" s="9">
        <f t="shared" si="31"/>
        <v>55.3</v>
      </c>
      <c r="F681" s="9">
        <f t="shared" si="32"/>
        <v>75.7</v>
      </c>
    </row>
    <row r="682" s="1" customFormat="1" spans="1:6">
      <c r="A682" s="8" t="str">
        <f>"2020892320"</f>
        <v>2020892320</v>
      </c>
      <c r="B682" s="9">
        <v>63</v>
      </c>
      <c r="C682" s="9">
        <f t="shared" si="30"/>
        <v>18.9</v>
      </c>
      <c r="D682" s="10">
        <v>87</v>
      </c>
      <c r="E682" s="9">
        <f t="shared" si="31"/>
        <v>60.9</v>
      </c>
      <c r="F682" s="9">
        <f t="shared" si="32"/>
        <v>79.8</v>
      </c>
    </row>
    <row r="683" s="1" customFormat="1" spans="1:6">
      <c r="A683" s="8" t="str">
        <f>"2020892321"</f>
        <v>2020892321</v>
      </c>
      <c r="B683" s="9">
        <v>72</v>
      </c>
      <c r="C683" s="9">
        <f t="shared" si="30"/>
        <v>21.6</v>
      </c>
      <c r="D683" s="10">
        <v>72</v>
      </c>
      <c r="E683" s="9">
        <f t="shared" si="31"/>
        <v>50.4</v>
      </c>
      <c r="F683" s="9">
        <f t="shared" si="32"/>
        <v>72</v>
      </c>
    </row>
    <row r="684" s="1" customFormat="1" spans="1:6">
      <c r="A684" s="8" t="str">
        <f>"2020892322"</f>
        <v>2020892322</v>
      </c>
      <c r="B684" s="9">
        <v>0</v>
      </c>
      <c r="C684" s="9">
        <f t="shared" si="30"/>
        <v>0</v>
      </c>
      <c r="D684" s="10">
        <v>0</v>
      </c>
      <c r="E684" s="9">
        <f t="shared" si="31"/>
        <v>0</v>
      </c>
      <c r="F684" s="9">
        <f t="shared" si="32"/>
        <v>0</v>
      </c>
    </row>
    <row r="685" s="1" customFormat="1" spans="1:6">
      <c r="A685" s="8" t="str">
        <f>"2020892323"</f>
        <v>2020892323</v>
      </c>
      <c r="B685" s="9">
        <v>0</v>
      </c>
      <c r="C685" s="9">
        <f t="shared" si="30"/>
        <v>0</v>
      </c>
      <c r="D685" s="10">
        <v>0</v>
      </c>
      <c r="E685" s="9">
        <f t="shared" si="31"/>
        <v>0</v>
      </c>
      <c r="F685" s="9">
        <f t="shared" si="32"/>
        <v>0</v>
      </c>
    </row>
    <row r="686" s="1" customFormat="1" spans="1:6">
      <c r="A686" s="8" t="str">
        <f>"2020892324"</f>
        <v>2020892324</v>
      </c>
      <c r="B686" s="9">
        <v>72</v>
      </c>
      <c r="C686" s="9">
        <f t="shared" si="30"/>
        <v>21.6</v>
      </c>
      <c r="D686" s="10">
        <v>67</v>
      </c>
      <c r="E686" s="9">
        <f t="shared" si="31"/>
        <v>46.9</v>
      </c>
      <c r="F686" s="9">
        <f t="shared" si="32"/>
        <v>68.5</v>
      </c>
    </row>
    <row r="687" s="1" customFormat="1" spans="1:6">
      <c r="A687" s="8" t="str">
        <f>"2020892325"</f>
        <v>2020892325</v>
      </c>
      <c r="B687" s="9">
        <v>70</v>
      </c>
      <c r="C687" s="9">
        <f t="shared" si="30"/>
        <v>21</v>
      </c>
      <c r="D687" s="10">
        <v>76</v>
      </c>
      <c r="E687" s="9">
        <f t="shared" si="31"/>
        <v>53.2</v>
      </c>
      <c r="F687" s="9">
        <f t="shared" si="32"/>
        <v>74.2</v>
      </c>
    </row>
    <row r="688" s="1" customFormat="1" spans="1:6">
      <c r="A688" s="8" t="str">
        <f>"2020892326"</f>
        <v>2020892326</v>
      </c>
      <c r="B688" s="9">
        <v>62</v>
      </c>
      <c r="C688" s="9">
        <f t="shared" si="30"/>
        <v>18.6</v>
      </c>
      <c r="D688" s="10">
        <v>84</v>
      </c>
      <c r="E688" s="9">
        <f t="shared" si="31"/>
        <v>58.8</v>
      </c>
      <c r="F688" s="9">
        <f t="shared" si="32"/>
        <v>77.4</v>
      </c>
    </row>
    <row r="689" s="1" customFormat="1" spans="1:6">
      <c r="A689" s="8" t="str">
        <f>"2020892327"</f>
        <v>2020892327</v>
      </c>
      <c r="B689" s="9">
        <v>68</v>
      </c>
      <c r="C689" s="9">
        <f t="shared" si="30"/>
        <v>20.4</v>
      </c>
      <c r="D689" s="10">
        <v>80</v>
      </c>
      <c r="E689" s="9">
        <f t="shared" si="31"/>
        <v>56</v>
      </c>
      <c r="F689" s="9">
        <f t="shared" si="32"/>
        <v>76.4</v>
      </c>
    </row>
    <row r="690" s="1" customFormat="1" spans="1:6">
      <c r="A690" s="8" t="str">
        <f>"2020892328"</f>
        <v>2020892328</v>
      </c>
      <c r="B690" s="9">
        <v>63</v>
      </c>
      <c r="C690" s="9">
        <f t="shared" si="30"/>
        <v>18.9</v>
      </c>
      <c r="D690" s="10">
        <v>80</v>
      </c>
      <c r="E690" s="9">
        <f t="shared" si="31"/>
        <v>56</v>
      </c>
      <c r="F690" s="9">
        <f t="shared" si="32"/>
        <v>74.9</v>
      </c>
    </row>
    <row r="691" s="1" customFormat="1" spans="1:6">
      <c r="A691" s="8" t="str">
        <f>"2020892329"</f>
        <v>2020892329</v>
      </c>
      <c r="B691" s="9">
        <v>69</v>
      </c>
      <c r="C691" s="9">
        <f t="shared" si="30"/>
        <v>20.7</v>
      </c>
      <c r="D691" s="10">
        <v>66</v>
      </c>
      <c r="E691" s="9">
        <f t="shared" si="31"/>
        <v>46.2</v>
      </c>
      <c r="F691" s="9">
        <f t="shared" si="32"/>
        <v>66.9</v>
      </c>
    </row>
    <row r="692" s="1" customFormat="1" spans="1:6">
      <c r="A692" s="8" t="str">
        <f>"2020892330"</f>
        <v>2020892330</v>
      </c>
      <c r="B692" s="9">
        <v>0</v>
      </c>
      <c r="C692" s="9">
        <f t="shared" si="30"/>
        <v>0</v>
      </c>
      <c r="D692" s="10">
        <v>0</v>
      </c>
      <c r="E692" s="9">
        <f t="shared" si="31"/>
        <v>0</v>
      </c>
      <c r="F692" s="9">
        <f t="shared" si="32"/>
        <v>0</v>
      </c>
    </row>
    <row r="693" s="1" customFormat="1" spans="1:6">
      <c r="A693" s="8" t="str">
        <f>"2020892401"</f>
        <v>2020892401</v>
      </c>
      <c r="B693" s="9">
        <v>74</v>
      </c>
      <c r="C693" s="9">
        <f t="shared" si="30"/>
        <v>22.2</v>
      </c>
      <c r="D693" s="10">
        <v>85</v>
      </c>
      <c r="E693" s="9">
        <f t="shared" si="31"/>
        <v>59.5</v>
      </c>
      <c r="F693" s="9">
        <f t="shared" si="32"/>
        <v>81.7</v>
      </c>
    </row>
    <row r="694" s="1" customFormat="1" spans="1:6">
      <c r="A694" s="8" t="str">
        <f>"2020892402"</f>
        <v>2020892402</v>
      </c>
      <c r="B694" s="9">
        <v>0</v>
      </c>
      <c r="C694" s="9">
        <f t="shared" si="30"/>
        <v>0</v>
      </c>
      <c r="D694" s="10">
        <v>0</v>
      </c>
      <c r="E694" s="9">
        <f t="shared" si="31"/>
        <v>0</v>
      </c>
      <c r="F694" s="9">
        <f t="shared" si="32"/>
        <v>0</v>
      </c>
    </row>
    <row r="695" s="1" customFormat="1" spans="1:6">
      <c r="A695" s="8" t="str">
        <f>"2020892403"</f>
        <v>2020892403</v>
      </c>
      <c r="B695" s="9">
        <v>66</v>
      </c>
      <c r="C695" s="9">
        <f t="shared" si="30"/>
        <v>19.8</v>
      </c>
      <c r="D695" s="10">
        <v>49</v>
      </c>
      <c r="E695" s="9">
        <f t="shared" si="31"/>
        <v>34.3</v>
      </c>
      <c r="F695" s="9">
        <f t="shared" si="32"/>
        <v>54.1</v>
      </c>
    </row>
    <row r="696" s="1" customFormat="1" spans="1:6">
      <c r="A696" s="8" t="str">
        <f>"2020892404"</f>
        <v>2020892404</v>
      </c>
      <c r="B696" s="9">
        <v>75</v>
      </c>
      <c r="C696" s="9">
        <f t="shared" si="30"/>
        <v>22.5</v>
      </c>
      <c r="D696" s="10">
        <v>63</v>
      </c>
      <c r="E696" s="9">
        <f t="shared" si="31"/>
        <v>44.1</v>
      </c>
      <c r="F696" s="9">
        <f t="shared" si="32"/>
        <v>66.6</v>
      </c>
    </row>
    <row r="697" s="1" customFormat="1" spans="1:6">
      <c r="A697" s="8" t="str">
        <f>"2020892405"</f>
        <v>2020892405</v>
      </c>
      <c r="B697" s="9">
        <v>62</v>
      </c>
      <c r="C697" s="9">
        <f t="shared" si="30"/>
        <v>18.6</v>
      </c>
      <c r="D697" s="10">
        <v>70</v>
      </c>
      <c r="E697" s="9">
        <f t="shared" si="31"/>
        <v>49</v>
      </c>
      <c r="F697" s="9">
        <f t="shared" si="32"/>
        <v>67.6</v>
      </c>
    </row>
    <row r="698" s="1" customFormat="1" spans="1:6">
      <c r="A698" s="8" t="str">
        <f>"2020892406"</f>
        <v>2020892406</v>
      </c>
      <c r="B698" s="9">
        <v>64</v>
      </c>
      <c r="C698" s="9">
        <f t="shared" si="30"/>
        <v>19.2</v>
      </c>
      <c r="D698" s="10">
        <v>59</v>
      </c>
      <c r="E698" s="9">
        <f t="shared" si="31"/>
        <v>41.3</v>
      </c>
      <c r="F698" s="9">
        <f t="shared" si="32"/>
        <v>60.5</v>
      </c>
    </row>
    <row r="699" s="1" customFormat="1" spans="1:6">
      <c r="A699" s="8" t="str">
        <f>"2020892407"</f>
        <v>2020892407</v>
      </c>
      <c r="B699" s="9">
        <v>38</v>
      </c>
      <c r="C699" s="9">
        <f t="shared" si="30"/>
        <v>11.4</v>
      </c>
      <c r="D699" s="10">
        <v>38</v>
      </c>
      <c r="E699" s="9">
        <f t="shared" si="31"/>
        <v>26.6</v>
      </c>
      <c r="F699" s="9">
        <f t="shared" si="32"/>
        <v>38</v>
      </c>
    </row>
    <row r="700" s="1" customFormat="1" spans="1:6">
      <c r="A700" s="8" t="str">
        <f>"2020892408"</f>
        <v>2020892408</v>
      </c>
      <c r="B700" s="9">
        <v>54</v>
      </c>
      <c r="C700" s="9">
        <f t="shared" si="30"/>
        <v>16.2</v>
      </c>
      <c r="D700" s="10">
        <v>67</v>
      </c>
      <c r="E700" s="9">
        <f t="shared" si="31"/>
        <v>46.9</v>
      </c>
      <c r="F700" s="9">
        <f t="shared" si="32"/>
        <v>63.1</v>
      </c>
    </row>
    <row r="701" s="1" customFormat="1" spans="1:6">
      <c r="A701" s="8" t="str">
        <f>"2020892409"</f>
        <v>2020892409</v>
      </c>
      <c r="B701" s="9">
        <v>66</v>
      </c>
      <c r="C701" s="9">
        <f t="shared" si="30"/>
        <v>19.8</v>
      </c>
      <c r="D701" s="10">
        <v>85</v>
      </c>
      <c r="E701" s="9">
        <f t="shared" si="31"/>
        <v>59.5</v>
      </c>
      <c r="F701" s="9">
        <f t="shared" si="32"/>
        <v>79.3</v>
      </c>
    </row>
    <row r="702" s="1" customFormat="1" spans="1:6">
      <c r="A702" s="8" t="str">
        <f>"2020892410"</f>
        <v>2020892410</v>
      </c>
      <c r="B702" s="9">
        <v>0</v>
      </c>
      <c r="C702" s="9">
        <f t="shared" si="30"/>
        <v>0</v>
      </c>
      <c r="D702" s="10">
        <v>0</v>
      </c>
      <c r="E702" s="9">
        <f t="shared" si="31"/>
        <v>0</v>
      </c>
      <c r="F702" s="9">
        <f t="shared" si="32"/>
        <v>0</v>
      </c>
    </row>
    <row r="703" s="1" customFormat="1" spans="1:6">
      <c r="A703" s="8" t="str">
        <f>"2020892411"</f>
        <v>2020892411</v>
      </c>
      <c r="B703" s="9">
        <v>78</v>
      </c>
      <c r="C703" s="9">
        <f t="shared" si="30"/>
        <v>23.4</v>
      </c>
      <c r="D703" s="10">
        <v>79</v>
      </c>
      <c r="E703" s="9">
        <f t="shared" si="31"/>
        <v>55.3</v>
      </c>
      <c r="F703" s="9">
        <f t="shared" si="32"/>
        <v>78.7</v>
      </c>
    </row>
    <row r="704" s="1" customFormat="1" spans="1:6">
      <c r="A704" s="8" t="str">
        <f>"2020892412"</f>
        <v>2020892412</v>
      </c>
      <c r="B704" s="9">
        <v>61</v>
      </c>
      <c r="C704" s="9">
        <f t="shared" si="30"/>
        <v>18.3</v>
      </c>
      <c r="D704" s="10">
        <v>71</v>
      </c>
      <c r="E704" s="9">
        <f t="shared" si="31"/>
        <v>49.7</v>
      </c>
      <c r="F704" s="9">
        <f t="shared" si="32"/>
        <v>68</v>
      </c>
    </row>
    <row r="705" s="1" customFormat="1" spans="1:6">
      <c r="A705" s="8" t="str">
        <f>"2020892413"</f>
        <v>2020892413</v>
      </c>
      <c r="B705" s="9">
        <v>61</v>
      </c>
      <c r="C705" s="9">
        <f t="shared" si="30"/>
        <v>18.3</v>
      </c>
      <c r="D705" s="10">
        <v>46</v>
      </c>
      <c r="E705" s="9">
        <f t="shared" si="31"/>
        <v>32.2</v>
      </c>
      <c r="F705" s="9">
        <f t="shared" si="32"/>
        <v>50.5</v>
      </c>
    </row>
    <row r="706" s="1" customFormat="1" spans="1:6">
      <c r="A706" s="8" t="str">
        <f>"2020892414"</f>
        <v>2020892414</v>
      </c>
      <c r="B706" s="9">
        <v>54</v>
      </c>
      <c r="C706" s="9">
        <f t="shared" si="30"/>
        <v>16.2</v>
      </c>
      <c r="D706" s="10">
        <v>72</v>
      </c>
      <c r="E706" s="9">
        <f t="shared" si="31"/>
        <v>50.4</v>
      </c>
      <c r="F706" s="9">
        <f t="shared" si="32"/>
        <v>66.6</v>
      </c>
    </row>
    <row r="707" s="1" customFormat="1" spans="1:6">
      <c r="A707" s="8" t="str">
        <f>"2020892415"</f>
        <v>2020892415</v>
      </c>
      <c r="B707" s="9">
        <v>78</v>
      </c>
      <c r="C707" s="9">
        <f t="shared" ref="C707:C770" si="33">B707*0.3</f>
        <v>23.4</v>
      </c>
      <c r="D707" s="10">
        <v>89</v>
      </c>
      <c r="E707" s="9">
        <f t="shared" ref="E707:E770" si="34">D707*0.7</f>
        <v>62.3</v>
      </c>
      <c r="F707" s="9">
        <f t="shared" ref="F707:F770" si="35">C707+E707</f>
        <v>85.7</v>
      </c>
    </row>
    <row r="708" s="1" customFormat="1" spans="1:6">
      <c r="A708" s="8" t="str">
        <f>"2020892416"</f>
        <v>2020892416</v>
      </c>
      <c r="B708" s="9">
        <v>67</v>
      </c>
      <c r="C708" s="9">
        <f t="shared" si="33"/>
        <v>20.1</v>
      </c>
      <c r="D708" s="10">
        <v>68</v>
      </c>
      <c r="E708" s="9">
        <f t="shared" si="34"/>
        <v>47.6</v>
      </c>
      <c r="F708" s="9">
        <f t="shared" si="35"/>
        <v>67.7</v>
      </c>
    </row>
    <row r="709" s="1" customFormat="1" spans="1:6">
      <c r="A709" s="8" t="str">
        <f>"2020892417"</f>
        <v>2020892417</v>
      </c>
      <c r="B709" s="9">
        <v>67</v>
      </c>
      <c r="C709" s="9">
        <f t="shared" si="33"/>
        <v>20.1</v>
      </c>
      <c r="D709" s="10">
        <v>80</v>
      </c>
      <c r="E709" s="9">
        <f t="shared" si="34"/>
        <v>56</v>
      </c>
      <c r="F709" s="9">
        <f t="shared" si="35"/>
        <v>76.1</v>
      </c>
    </row>
    <row r="710" s="1" customFormat="1" spans="1:6">
      <c r="A710" s="8" t="str">
        <f>"2020892418"</f>
        <v>2020892418</v>
      </c>
      <c r="B710" s="9">
        <v>75</v>
      </c>
      <c r="C710" s="9">
        <f t="shared" si="33"/>
        <v>22.5</v>
      </c>
      <c r="D710" s="10">
        <v>87</v>
      </c>
      <c r="E710" s="9">
        <f t="shared" si="34"/>
        <v>60.9</v>
      </c>
      <c r="F710" s="9">
        <f t="shared" si="35"/>
        <v>83.4</v>
      </c>
    </row>
    <row r="711" s="1" customFormat="1" spans="1:6">
      <c r="A711" s="8" t="str">
        <f>"2020892419"</f>
        <v>2020892419</v>
      </c>
      <c r="B711" s="9">
        <v>78</v>
      </c>
      <c r="C711" s="9">
        <f t="shared" si="33"/>
        <v>23.4</v>
      </c>
      <c r="D711" s="10">
        <v>77</v>
      </c>
      <c r="E711" s="9">
        <f t="shared" si="34"/>
        <v>53.9</v>
      </c>
      <c r="F711" s="9">
        <f t="shared" si="35"/>
        <v>77.3</v>
      </c>
    </row>
    <row r="712" s="1" customFormat="1" spans="1:6">
      <c r="A712" s="8" t="str">
        <f>"2020892420"</f>
        <v>2020892420</v>
      </c>
      <c r="B712" s="9">
        <v>62</v>
      </c>
      <c r="C712" s="9">
        <f t="shared" si="33"/>
        <v>18.6</v>
      </c>
      <c r="D712" s="10">
        <v>72</v>
      </c>
      <c r="E712" s="9">
        <f t="shared" si="34"/>
        <v>50.4</v>
      </c>
      <c r="F712" s="9">
        <f t="shared" si="35"/>
        <v>69</v>
      </c>
    </row>
    <row r="713" s="1" customFormat="1" spans="1:6">
      <c r="A713" s="8" t="str">
        <f>"2020892421"</f>
        <v>2020892421</v>
      </c>
      <c r="B713" s="9">
        <v>72</v>
      </c>
      <c r="C713" s="9">
        <f t="shared" si="33"/>
        <v>21.6</v>
      </c>
      <c r="D713" s="10">
        <v>80</v>
      </c>
      <c r="E713" s="9">
        <f t="shared" si="34"/>
        <v>56</v>
      </c>
      <c r="F713" s="9">
        <f t="shared" si="35"/>
        <v>77.6</v>
      </c>
    </row>
    <row r="714" s="1" customFormat="1" spans="1:6">
      <c r="A714" s="8" t="str">
        <f>"2020892422"</f>
        <v>2020892422</v>
      </c>
      <c r="B714" s="9">
        <v>65</v>
      </c>
      <c r="C714" s="9">
        <f t="shared" si="33"/>
        <v>19.5</v>
      </c>
      <c r="D714" s="10">
        <v>78</v>
      </c>
      <c r="E714" s="9">
        <f t="shared" si="34"/>
        <v>54.6</v>
      </c>
      <c r="F714" s="9">
        <f t="shared" si="35"/>
        <v>74.1</v>
      </c>
    </row>
    <row r="715" s="1" customFormat="1" spans="1:6">
      <c r="A715" s="8" t="str">
        <f>"2020892423"</f>
        <v>2020892423</v>
      </c>
      <c r="B715" s="9">
        <v>56</v>
      </c>
      <c r="C715" s="9">
        <f t="shared" si="33"/>
        <v>16.8</v>
      </c>
      <c r="D715" s="10">
        <v>74</v>
      </c>
      <c r="E715" s="9">
        <f t="shared" si="34"/>
        <v>51.8</v>
      </c>
      <c r="F715" s="9">
        <f t="shared" si="35"/>
        <v>68.6</v>
      </c>
    </row>
    <row r="716" s="1" customFormat="1" spans="1:6">
      <c r="A716" s="8" t="str">
        <f>"2020892424"</f>
        <v>2020892424</v>
      </c>
      <c r="B716" s="9">
        <v>61</v>
      </c>
      <c r="C716" s="9">
        <f t="shared" si="33"/>
        <v>18.3</v>
      </c>
      <c r="D716" s="10">
        <v>72</v>
      </c>
      <c r="E716" s="9">
        <f t="shared" si="34"/>
        <v>50.4</v>
      </c>
      <c r="F716" s="9">
        <f t="shared" si="35"/>
        <v>68.7</v>
      </c>
    </row>
    <row r="717" s="1" customFormat="1" spans="1:6">
      <c r="A717" s="8" t="str">
        <f>"2020892425"</f>
        <v>2020892425</v>
      </c>
      <c r="B717" s="9">
        <v>74</v>
      </c>
      <c r="C717" s="9">
        <f t="shared" si="33"/>
        <v>22.2</v>
      </c>
      <c r="D717" s="10">
        <v>69</v>
      </c>
      <c r="E717" s="9">
        <f t="shared" si="34"/>
        <v>48.3</v>
      </c>
      <c r="F717" s="9">
        <f t="shared" si="35"/>
        <v>70.5</v>
      </c>
    </row>
    <row r="718" s="1" customFormat="1" spans="1:6">
      <c r="A718" s="8" t="str">
        <f>"2020892426"</f>
        <v>2020892426</v>
      </c>
      <c r="B718" s="9">
        <v>63</v>
      </c>
      <c r="C718" s="9">
        <f t="shared" si="33"/>
        <v>18.9</v>
      </c>
      <c r="D718" s="10">
        <v>49</v>
      </c>
      <c r="E718" s="9">
        <f t="shared" si="34"/>
        <v>34.3</v>
      </c>
      <c r="F718" s="9">
        <f t="shared" si="35"/>
        <v>53.2</v>
      </c>
    </row>
    <row r="719" s="1" customFormat="1" spans="1:6">
      <c r="A719" s="8" t="str">
        <f>"2020892427"</f>
        <v>2020892427</v>
      </c>
      <c r="B719" s="9">
        <v>80</v>
      </c>
      <c r="C719" s="9">
        <f t="shared" si="33"/>
        <v>24</v>
      </c>
      <c r="D719" s="10">
        <v>85</v>
      </c>
      <c r="E719" s="9">
        <f t="shared" si="34"/>
        <v>59.5</v>
      </c>
      <c r="F719" s="9">
        <f t="shared" si="35"/>
        <v>83.5</v>
      </c>
    </row>
    <row r="720" s="1" customFormat="1" spans="1:6">
      <c r="A720" s="8" t="str">
        <f>"2020892428"</f>
        <v>2020892428</v>
      </c>
      <c r="B720" s="9">
        <v>76</v>
      </c>
      <c r="C720" s="9">
        <f t="shared" si="33"/>
        <v>22.8</v>
      </c>
      <c r="D720" s="10">
        <v>77</v>
      </c>
      <c r="E720" s="9">
        <f t="shared" si="34"/>
        <v>53.9</v>
      </c>
      <c r="F720" s="9">
        <f t="shared" si="35"/>
        <v>76.7</v>
      </c>
    </row>
    <row r="721" s="1" customFormat="1" spans="1:6">
      <c r="A721" s="8" t="str">
        <f>"2020892429"</f>
        <v>2020892429</v>
      </c>
      <c r="B721" s="9">
        <v>0</v>
      </c>
      <c r="C721" s="9">
        <f t="shared" si="33"/>
        <v>0</v>
      </c>
      <c r="D721" s="10">
        <v>0</v>
      </c>
      <c r="E721" s="9">
        <f t="shared" si="34"/>
        <v>0</v>
      </c>
      <c r="F721" s="9">
        <f t="shared" si="35"/>
        <v>0</v>
      </c>
    </row>
    <row r="722" s="1" customFormat="1" spans="1:6">
      <c r="A722" s="8" t="str">
        <f>"2020892430"</f>
        <v>2020892430</v>
      </c>
      <c r="B722" s="9">
        <v>69</v>
      </c>
      <c r="C722" s="9">
        <f t="shared" si="33"/>
        <v>20.7</v>
      </c>
      <c r="D722" s="10">
        <v>77</v>
      </c>
      <c r="E722" s="9">
        <f t="shared" si="34"/>
        <v>53.9</v>
      </c>
      <c r="F722" s="9">
        <f t="shared" si="35"/>
        <v>74.6</v>
      </c>
    </row>
    <row r="723" s="1" customFormat="1" spans="1:6">
      <c r="A723" s="8" t="str">
        <f>"2020892501"</f>
        <v>2020892501</v>
      </c>
      <c r="B723" s="9">
        <v>0</v>
      </c>
      <c r="C723" s="9">
        <f t="shared" si="33"/>
        <v>0</v>
      </c>
      <c r="D723" s="10">
        <v>0</v>
      </c>
      <c r="E723" s="9">
        <f t="shared" si="34"/>
        <v>0</v>
      </c>
      <c r="F723" s="9">
        <f t="shared" si="35"/>
        <v>0</v>
      </c>
    </row>
    <row r="724" s="1" customFormat="1" spans="1:6">
      <c r="A724" s="8" t="str">
        <f>"2020892502"</f>
        <v>2020892502</v>
      </c>
      <c r="B724" s="9">
        <v>77</v>
      </c>
      <c r="C724" s="9">
        <f t="shared" si="33"/>
        <v>23.1</v>
      </c>
      <c r="D724" s="10">
        <v>74</v>
      </c>
      <c r="E724" s="9">
        <f t="shared" si="34"/>
        <v>51.8</v>
      </c>
      <c r="F724" s="9">
        <f t="shared" si="35"/>
        <v>74.9</v>
      </c>
    </row>
    <row r="725" s="1" customFormat="1" spans="1:6">
      <c r="A725" s="8" t="str">
        <f>"2020892503"</f>
        <v>2020892503</v>
      </c>
      <c r="B725" s="9">
        <v>0</v>
      </c>
      <c r="C725" s="9">
        <f t="shared" si="33"/>
        <v>0</v>
      </c>
      <c r="D725" s="10">
        <v>0</v>
      </c>
      <c r="E725" s="9">
        <f t="shared" si="34"/>
        <v>0</v>
      </c>
      <c r="F725" s="9">
        <f t="shared" si="35"/>
        <v>0</v>
      </c>
    </row>
    <row r="726" s="1" customFormat="1" spans="1:6">
      <c r="A726" s="8" t="str">
        <f>"2020892504"</f>
        <v>2020892504</v>
      </c>
      <c r="B726" s="9">
        <v>0</v>
      </c>
      <c r="C726" s="9">
        <f t="shared" si="33"/>
        <v>0</v>
      </c>
      <c r="D726" s="10">
        <v>0</v>
      </c>
      <c r="E726" s="9">
        <f t="shared" si="34"/>
        <v>0</v>
      </c>
      <c r="F726" s="9">
        <f t="shared" si="35"/>
        <v>0</v>
      </c>
    </row>
    <row r="727" s="1" customFormat="1" spans="1:6">
      <c r="A727" s="8" t="str">
        <f>"2020892505"</f>
        <v>2020892505</v>
      </c>
      <c r="B727" s="9">
        <v>0</v>
      </c>
      <c r="C727" s="9">
        <f t="shared" si="33"/>
        <v>0</v>
      </c>
      <c r="D727" s="10">
        <v>0</v>
      </c>
      <c r="E727" s="9">
        <f t="shared" si="34"/>
        <v>0</v>
      </c>
      <c r="F727" s="9">
        <f t="shared" si="35"/>
        <v>0</v>
      </c>
    </row>
    <row r="728" s="1" customFormat="1" spans="1:6">
      <c r="A728" s="8" t="str">
        <f>"2020892506"</f>
        <v>2020892506</v>
      </c>
      <c r="B728" s="9">
        <v>0</v>
      </c>
      <c r="C728" s="9">
        <f t="shared" si="33"/>
        <v>0</v>
      </c>
      <c r="D728" s="10">
        <v>0</v>
      </c>
      <c r="E728" s="9">
        <f t="shared" si="34"/>
        <v>0</v>
      </c>
      <c r="F728" s="9">
        <f t="shared" si="35"/>
        <v>0</v>
      </c>
    </row>
    <row r="729" s="1" customFormat="1" spans="1:6">
      <c r="A729" s="8" t="str">
        <f>"2020892507"</f>
        <v>2020892507</v>
      </c>
      <c r="B729" s="9">
        <v>0</v>
      </c>
      <c r="C729" s="9">
        <f t="shared" si="33"/>
        <v>0</v>
      </c>
      <c r="D729" s="10">
        <v>0</v>
      </c>
      <c r="E729" s="9">
        <f t="shared" si="34"/>
        <v>0</v>
      </c>
      <c r="F729" s="9">
        <f t="shared" si="35"/>
        <v>0</v>
      </c>
    </row>
    <row r="730" s="1" customFormat="1" spans="1:6">
      <c r="A730" s="8" t="str">
        <f>"2020892508"</f>
        <v>2020892508</v>
      </c>
      <c r="B730" s="9">
        <v>69</v>
      </c>
      <c r="C730" s="9">
        <f t="shared" si="33"/>
        <v>20.7</v>
      </c>
      <c r="D730" s="10">
        <v>79</v>
      </c>
      <c r="E730" s="9">
        <f t="shared" si="34"/>
        <v>55.3</v>
      </c>
      <c r="F730" s="9">
        <f t="shared" si="35"/>
        <v>76</v>
      </c>
    </row>
    <row r="731" s="1" customFormat="1" spans="1:6">
      <c r="A731" s="8" t="str">
        <f>"2020892509"</f>
        <v>2020892509</v>
      </c>
      <c r="B731" s="9">
        <v>68</v>
      </c>
      <c r="C731" s="9">
        <f t="shared" si="33"/>
        <v>20.4</v>
      </c>
      <c r="D731" s="10">
        <v>86</v>
      </c>
      <c r="E731" s="9">
        <f t="shared" si="34"/>
        <v>60.2</v>
      </c>
      <c r="F731" s="9">
        <f t="shared" si="35"/>
        <v>80.6</v>
      </c>
    </row>
    <row r="732" s="1" customFormat="1" spans="1:6">
      <c r="A732" s="8" t="str">
        <f>"2020892510"</f>
        <v>2020892510</v>
      </c>
      <c r="B732" s="9">
        <v>69</v>
      </c>
      <c r="C732" s="9">
        <f t="shared" si="33"/>
        <v>20.7</v>
      </c>
      <c r="D732" s="10">
        <v>82</v>
      </c>
      <c r="E732" s="9">
        <f t="shared" si="34"/>
        <v>57.4</v>
      </c>
      <c r="F732" s="9">
        <f t="shared" si="35"/>
        <v>78.1</v>
      </c>
    </row>
    <row r="733" s="1" customFormat="1" spans="1:6">
      <c r="A733" s="8" t="str">
        <f>"2020892511"</f>
        <v>2020892511</v>
      </c>
      <c r="B733" s="9">
        <v>0</v>
      </c>
      <c r="C733" s="9">
        <f t="shared" si="33"/>
        <v>0</v>
      </c>
      <c r="D733" s="10">
        <v>0</v>
      </c>
      <c r="E733" s="9">
        <f t="shared" si="34"/>
        <v>0</v>
      </c>
      <c r="F733" s="9">
        <f t="shared" si="35"/>
        <v>0</v>
      </c>
    </row>
    <row r="734" s="1" customFormat="1" spans="1:6">
      <c r="A734" s="8" t="str">
        <f>"2020892512"</f>
        <v>2020892512</v>
      </c>
      <c r="B734" s="9">
        <v>74</v>
      </c>
      <c r="C734" s="9">
        <f t="shared" si="33"/>
        <v>22.2</v>
      </c>
      <c r="D734" s="10">
        <v>67</v>
      </c>
      <c r="E734" s="9">
        <f t="shared" si="34"/>
        <v>46.9</v>
      </c>
      <c r="F734" s="9">
        <f t="shared" si="35"/>
        <v>69.1</v>
      </c>
    </row>
    <row r="735" s="1" customFormat="1" spans="1:6">
      <c r="A735" s="8" t="str">
        <f>"2020892513"</f>
        <v>2020892513</v>
      </c>
      <c r="B735" s="9">
        <v>62</v>
      </c>
      <c r="C735" s="9">
        <f t="shared" si="33"/>
        <v>18.6</v>
      </c>
      <c r="D735" s="10">
        <v>53</v>
      </c>
      <c r="E735" s="9">
        <f t="shared" si="34"/>
        <v>37.1</v>
      </c>
      <c r="F735" s="9">
        <f t="shared" si="35"/>
        <v>55.7</v>
      </c>
    </row>
    <row r="736" s="1" customFormat="1" spans="1:6">
      <c r="A736" s="8" t="str">
        <f>"2020892514"</f>
        <v>2020892514</v>
      </c>
      <c r="B736" s="9">
        <v>71</v>
      </c>
      <c r="C736" s="9">
        <f t="shared" si="33"/>
        <v>21.3</v>
      </c>
      <c r="D736" s="10">
        <v>82</v>
      </c>
      <c r="E736" s="9">
        <f t="shared" si="34"/>
        <v>57.4</v>
      </c>
      <c r="F736" s="9">
        <f t="shared" si="35"/>
        <v>78.7</v>
      </c>
    </row>
    <row r="737" s="1" customFormat="1" spans="1:6">
      <c r="A737" s="8" t="str">
        <f>"2020892515"</f>
        <v>2020892515</v>
      </c>
      <c r="B737" s="9">
        <v>0</v>
      </c>
      <c r="C737" s="9">
        <f t="shared" si="33"/>
        <v>0</v>
      </c>
      <c r="D737" s="10">
        <v>0</v>
      </c>
      <c r="E737" s="9">
        <f t="shared" si="34"/>
        <v>0</v>
      </c>
      <c r="F737" s="9">
        <f t="shared" si="35"/>
        <v>0</v>
      </c>
    </row>
    <row r="738" s="1" customFormat="1" spans="1:6">
      <c r="A738" s="8" t="str">
        <f>"2020892516"</f>
        <v>2020892516</v>
      </c>
      <c r="B738" s="9">
        <v>62</v>
      </c>
      <c r="C738" s="9">
        <f t="shared" si="33"/>
        <v>18.6</v>
      </c>
      <c r="D738" s="10">
        <v>83</v>
      </c>
      <c r="E738" s="9">
        <f t="shared" si="34"/>
        <v>58.1</v>
      </c>
      <c r="F738" s="9">
        <f t="shared" si="35"/>
        <v>76.7</v>
      </c>
    </row>
    <row r="739" s="1" customFormat="1" spans="1:6">
      <c r="A739" s="8" t="str">
        <f>"2020892517"</f>
        <v>2020892517</v>
      </c>
      <c r="B739" s="9">
        <v>66</v>
      </c>
      <c r="C739" s="9">
        <f t="shared" si="33"/>
        <v>19.8</v>
      </c>
      <c r="D739" s="10">
        <v>89</v>
      </c>
      <c r="E739" s="9">
        <f t="shared" si="34"/>
        <v>62.3</v>
      </c>
      <c r="F739" s="9">
        <f t="shared" si="35"/>
        <v>82.1</v>
      </c>
    </row>
    <row r="740" s="1" customFormat="1" spans="1:6">
      <c r="A740" s="8" t="str">
        <f>"2020892518"</f>
        <v>2020892518</v>
      </c>
      <c r="B740" s="9">
        <v>56</v>
      </c>
      <c r="C740" s="9">
        <f t="shared" si="33"/>
        <v>16.8</v>
      </c>
      <c r="D740" s="10">
        <v>82</v>
      </c>
      <c r="E740" s="9">
        <f t="shared" si="34"/>
        <v>57.4</v>
      </c>
      <c r="F740" s="9">
        <f t="shared" si="35"/>
        <v>74.2</v>
      </c>
    </row>
    <row r="741" s="1" customFormat="1" spans="1:6">
      <c r="A741" s="8" t="str">
        <f>"2020892519"</f>
        <v>2020892519</v>
      </c>
      <c r="B741" s="9">
        <v>0</v>
      </c>
      <c r="C741" s="9">
        <f t="shared" si="33"/>
        <v>0</v>
      </c>
      <c r="D741" s="10">
        <v>0</v>
      </c>
      <c r="E741" s="9">
        <f t="shared" si="34"/>
        <v>0</v>
      </c>
      <c r="F741" s="9">
        <f t="shared" si="35"/>
        <v>0</v>
      </c>
    </row>
    <row r="742" s="1" customFormat="1" spans="1:6">
      <c r="A742" s="8" t="str">
        <f>"2020892520"</f>
        <v>2020892520</v>
      </c>
      <c r="B742" s="9">
        <v>0</v>
      </c>
      <c r="C742" s="9">
        <f t="shared" si="33"/>
        <v>0</v>
      </c>
      <c r="D742" s="10">
        <v>0</v>
      </c>
      <c r="E742" s="9">
        <f t="shared" si="34"/>
        <v>0</v>
      </c>
      <c r="F742" s="9">
        <f t="shared" si="35"/>
        <v>0</v>
      </c>
    </row>
    <row r="743" s="1" customFormat="1" spans="1:6">
      <c r="A743" s="8" t="str">
        <f>"2020892521"</f>
        <v>2020892521</v>
      </c>
      <c r="B743" s="9">
        <v>74</v>
      </c>
      <c r="C743" s="9">
        <f t="shared" si="33"/>
        <v>22.2</v>
      </c>
      <c r="D743" s="10">
        <v>74</v>
      </c>
      <c r="E743" s="9">
        <f t="shared" si="34"/>
        <v>51.8</v>
      </c>
      <c r="F743" s="9">
        <f t="shared" si="35"/>
        <v>74</v>
      </c>
    </row>
    <row r="744" s="1" customFormat="1" spans="1:6">
      <c r="A744" s="8" t="str">
        <f>"2020892522"</f>
        <v>2020892522</v>
      </c>
      <c r="B744" s="9">
        <v>0</v>
      </c>
      <c r="C744" s="9">
        <f t="shared" si="33"/>
        <v>0</v>
      </c>
      <c r="D744" s="10">
        <v>0</v>
      </c>
      <c r="E744" s="9">
        <f t="shared" si="34"/>
        <v>0</v>
      </c>
      <c r="F744" s="9">
        <f t="shared" si="35"/>
        <v>0</v>
      </c>
    </row>
    <row r="745" s="1" customFormat="1" spans="1:6">
      <c r="A745" s="8" t="str">
        <f>"2020892523"</f>
        <v>2020892523</v>
      </c>
      <c r="B745" s="9">
        <v>66</v>
      </c>
      <c r="C745" s="9">
        <f t="shared" si="33"/>
        <v>19.8</v>
      </c>
      <c r="D745" s="10">
        <v>79</v>
      </c>
      <c r="E745" s="9">
        <f t="shared" si="34"/>
        <v>55.3</v>
      </c>
      <c r="F745" s="9">
        <f t="shared" si="35"/>
        <v>75.1</v>
      </c>
    </row>
    <row r="746" s="1" customFormat="1" spans="1:6">
      <c r="A746" s="8" t="str">
        <f>"2020892524"</f>
        <v>2020892524</v>
      </c>
      <c r="B746" s="9">
        <v>61</v>
      </c>
      <c r="C746" s="9">
        <f t="shared" si="33"/>
        <v>18.3</v>
      </c>
      <c r="D746" s="10">
        <v>86</v>
      </c>
      <c r="E746" s="9">
        <f t="shared" si="34"/>
        <v>60.2</v>
      </c>
      <c r="F746" s="9">
        <f t="shared" si="35"/>
        <v>78.5</v>
      </c>
    </row>
    <row r="747" s="1" customFormat="1" spans="1:6">
      <c r="A747" s="8" t="str">
        <f>"2020892525"</f>
        <v>2020892525</v>
      </c>
      <c r="B747" s="9">
        <v>71</v>
      </c>
      <c r="C747" s="9">
        <f t="shared" si="33"/>
        <v>21.3</v>
      </c>
      <c r="D747" s="10">
        <v>68</v>
      </c>
      <c r="E747" s="9">
        <f t="shared" si="34"/>
        <v>47.6</v>
      </c>
      <c r="F747" s="9">
        <f t="shared" si="35"/>
        <v>68.9</v>
      </c>
    </row>
    <row r="748" s="1" customFormat="1" spans="1:6">
      <c r="A748" s="8" t="str">
        <f>"2020892526"</f>
        <v>2020892526</v>
      </c>
      <c r="B748" s="9">
        <v>67</v>
      </c>
      <c r="C748" s="9">
        <f t="shared" si="33"/>
        <v>20.1</v>
      </c>
      <c r="D748" s="10">
        <v>89</v>
      </c>
      <c r="E748" s="9">
        <f t="shared" si="34"/>
        <v>62.3</v>
      </c>
      <c r="F748" s="9">
        <f t="shared" si="35"/>
        <v>82.4</v>
      </c>
    </row>
    <row r="749" s="1" customFormat="1" spans="1:6">
      <c r="A749" s="8" t="str">
        <f>"2020892527"</f>
        <v>2020892527</v>
      </c>
      <c r="B749" s="9">
        <v>66</v>
      </c>
      <c r="C749" s="9">
        <f t="shared" si="33"/>
        <v>19.8</v>
      </c>
      <c r="D749" s="10">
        <v>87</v>
      </c>
      <c r="E749" s="9">
        <f t="shared" si="34"/>
        <v>60.9</v>
      </c>
      <c r="F749" s="9">
        <f t="shared" si="35"/>
        <v>80.7</v>
      </c>
    </row>
    <row r="750" s="1" customFormat="1" spans="1:6">
      <c r="A750" s="8" t="str">
        <f>"2020892528"</f>
        <v>2020892528</v>
      </c>
      <c r="B750" s="9">
        <v>61</v>
      </c>
      <c r="C750" s="9">
        <f t="shared" si="33"/>
        <v>18.3</v>
      </c>
      <c r="D750" s="10">
        <v>72</v>
      </c>
      <c r="E750" s="9">
        <f t="shared" si="34"/>
        <v>50.4</v>
      </c>
      <c r="F750" s="9">
        <f t="shared" si="35"/>
        <v>68.7</v>
      </c>
    </row>
    <row r="751" s="1" customFormat="1" spans="1:6">
      <c r="A751" s="8" t="str">
        <f>"2020892529"</f>
        <v>2020892529</v>
      </c>
      <c r="B751" s="9">
        <v>51</v>
      </c>
      <c r="C751" s="9">
        <f t="shared" si="33"/>
        <v>15.3</v>
      </c>
      <c r="D751" s="10">
        <v>80</v>
      </c>
      <c r="E751" s="9">
        <f t="shared" si="34"/>
        <v>56</v>
      </c>
      <c r="F751" s="9">
        <f t="shared" si="35"/>
        <v>71.3</v>
      </c>
    </row>
    <row r="752" s="1" customFormat="1" spans="1:6">
      <c r="A752" s="8" t="str">
        <f>"2020892530"</f>
        <v>2020892530</v>
      </c>
      <c r="B752" s="9">
        <v>0</v>
      </c>
      <c r="C752" s="9">
        <f t="shared" si="33"/>
        <v>0</v>
      </c>
      <c r="D752" s="10">
        <v>0</v>
      </c>
      <c r="E752" s="9">
        <f t="shared" si="34"/>
        <v>0</v>
      </c>
      <c r="F752" s="9">
        <f t="shared" si="35"/>
        <v>0</v>
      </c>
    </row>
    <row r="753" s="1" customFormat="1" spans="1:6">
      <c r="A753" s="8" t="str">
        <f>"2020892601"</f>
        <v>2020892601</v>
      </c>
      <c r="B753" s="9">
        <v>68</v>
      </c>
      <c r="C753" s="9">
        <f t="shared" si="33"/>
        <v>20.4</v>
      </c>
      <c r="D753" s="10">
        <v>66</v>
      </c>
      <c r="E753" s="9">
        <f t="shared" si="34"/>
        <v>46.2</v>
      </c>
      <c r="F753" s="9">
        <f t="shared" si="35"/>
        <v>66.6</v>
      </c>
    </row>
    <row r="754" s="1" customFormat="1" spans="1:6">
      <c r="A754" s="8" t="str">
        <f>"2020892602"</f>
        <v>2020892602</v>
      </c>
      <c r="B754" s="9">
        <v>75</v>
      </c>
      <c r="C754" s="9">
        <f t="shared" si="33"/>
        <v>22.5</v>
      </c>
      <c r="D754" s="10">
        <v>85</v>
      </c>
      <c r="E754" s="9">
        <f t="shared" si="34"/>
        <v>59.5</v>
      </c>
      <c r="F754" s="9">
        <f t="shared" si="35"/>
        <v>82</v>
      </c>
    </row>
    <row r="755" s="1" customFormat="1" spans="1:6">
      <c r="A755" s="8" t="str">
        <f>"2020892603"</f>
        <v>2020892603</v>
      </c>
      <c r="B755" s="9">
        <v>0</v>
      </c>
      <c r="C755" s="9">
        <f t="shared" si="33"/>
        <v>0</v>
      </c>
      <c r="D755" s="10">
        <v>0</v>
      </c>
      <c r="E755" s="9">
        <f t="shared" si="34"/>
        <v>0</v>
      </c>
      <c r="F755" s="9">
        <f t="shared" si="35"/>
        <v>0</v>
      </c>
    </row>
    <row r="756" s="1" customFormat="1" spans="1:6">
      <c r="A756" s="8" t="str">
        <f>"2020892604"</f>
        <v>2020892604</v>
      </c>
      <c r="B756" s="9">
        <v>72</v>
      </c>
      <c r="C756" s="9">
        <f t="shared" si="33"/>
        <v>21.6</v>
      </c>
      <c r="D756" s="10">
        <v>93</v>
      </c>
      <c r="E756" s="9">
        <f t="shared" si="34"/>
        <v>65.1</v>
      </c>
      <c r="F756" s="9">
        <f t="shared" si="35"/>
        <v>86.7</v>
      </c>
    </row>
    <row r="757" s="1" customFormat="1" spans="1:6">
      <c r="A757" s="8" t="str">
        <f>"2020892605"</f>
        <v>2020892605</v>
      </c>
      <c r="B757" s="9">
        <v>76</v>
      </c>
      <c r="C757" s="9">
        <f t="shared" si="33"/>
        <v>22.8</v>
      </c>
      <c r="D757" s="10">
        <v>89</v>
      </c>
      <c r="E757" s="9">
        <f t="shared" si="34"/>
        <v>62.3</v>
      </c>
      <c r="F757" s="9">
        <f t="shared" si="35"/>
        <v>85.1</v>
      </c>
    </row>
    <row r="758" s="1" customFormat="1" spans="1:6">
      <c r="A758" s="8" t="str">
        <f>"2020892606"</f>
        <v>2020892606</v>
      </c>
      <c r="B758" s="9">
        <v>74</v>
      </c>
      <c r="C758" s="9">
        <f t="shared" si="33"/>
        <v>22.2</v>
      </c>
      <c r="D758" s="10">
        <v>73</v>
      </c>
      <c r="E758" s="9">
        <f t="shared" si="34"/>
        <v>51.1</v>
      </c>
      <c r="F758" s="9">
        <f t="shared" si="35"/>
        <v>73.3</v>
      </c>
    </row>
    <row r="759" s="1" customFormat="1" spans="1:6">
      <c r="A759" s="8" t="str">
        <f>"2020892607"</f>
        <v>2020892607</v>
      </c>
      <c r="B759" s="9">
        <v>69</v>
      </c>
      <c r="C759" s="9">
        <f t="shared" si="33"/>
        <v>20.7</v>
      </c>
      <c r="D759" s="10">
        <v>86</v>
      </c>
      <c r="E759" s="9">
        <f t="shared" si="34"/>
        <v>60.2</v>
      </c>
      <c r="F759" s="9">
        <f t="shared" si="35"/>
        <v>80.9</v>
      </c>
    </row>
    <row r="760" s="1" customFormat="1" spans="1:6">
      <c r="A760" s="8" t="str">
        <f>"2020892608"</f>
        <v>2020892608</v>
      </c>
      <c r="B760" s="9">
        <v>73</v>
      </c>
      <c r="C760" s="9">
        <f t="shared" si="33"/>
        <v>21.9</v>
      </c>
      <c r="D760" s="10">
        <v>81</v>
      </c>
      <c r="E760" s="9">
        <f t="shared" si="34"/>
        <v>56.7</v>
      </c>
      <c r="F760" s="9">
        <f t="shared" si="35"/>
        <v>78.6</v>
      </c>
    </row>
    <row r="761" s="1" customFormat="1" spans="1:6">
      <c r="A761" s="8" t="str">
        <f>"2020892609"</f>
        <v>2020892609</v>
      </c>
      <c r="B761" s="9">
        <v>62</v>
      </c>
      <c r="C761" s="9">
        <f t="shared" si="33"/>
        <v>18.6</v>
      </c>
      <c r="D761" s="10">
        <v>90</v>
      </c>
      <c r="E761" s="9">
        <f t="shared" si="34"/>
        <v>63</v>
      </c>
      <c r="F761" s="9">
        <f t="shared" si="35"/>
        <v>81.6</v>
      </c>
    </row>
    <row r="762" s="1" customFormat="1" spans="1:6">
      <c r="A762" s="8" t="str">
        <f>"2020892610"</f>
        <v>2020892610</v>
      </c>
      <c r="B762" s="9">
        <v>0</v>
      </c>
      <c r="C762" s="9">
        <f t="shared" si="33"/>
        <v>0</v>
      </c>
      <c r="D762" s="10">
        <v>0</v>
      </c>
      <c r="E762" s="9">
        <f t="shared" si="34"/>
        <v>0</v>
      </c>
      <c r="F762" s="9">
        <f t="shared" si="35"/>
        <v>0</v>
      </c>
    </row>
    <row r="763" s="1" customFormat="1" spans="1:6">
      <c r="A763" s="8" t="str">
        <f>"2020892611"</f>
        <v>2020892611</v>
      </c>
      <c r="B763" s="9">
        <v>62</v>
      </c>
      <c r="C763" s="9">
        <f t="shared" si="33"/>
        <v>18.6</v>
      </c>
      <c r="D763" s="10">
        <v>93</v>
      </c>
      <c r="E763" s="9">
        <f t="shared" si="34"/>
        <v>65.1</v>
      </c>
      <c r="F763" s="9">
        <f t="shared" si="35"/>
        <v>83.7</v>
      </c>
    </row>
    <row r="764" s="1" customFormat="1" spans="1:6">
      <c r="A764" s="8" t="str">
        <f>"2020892612"</f>
        <v>2020892612</v>
      </c>
      <c r="B764" s="9">
        <v>74</v>
      </c>
      <c r="C764" s="9">
        <f t="shared" si="33"/>
        <v>22.2</v>
      </c>
      <c r="D764" s="10">
        <v>77</v>
      </c>
      <c r="E764" s="9">
        <f t="shared" si="34"/>
        <v>53.9</v>
      </c>
      <c r="F764" s="9">
        <f t="shared" si="35"/>
        <v>76.1</v>
      </c>
    </row>
    <row r="765" s="1" customFormat="1" spans="1:6">
      <c r="A765" s="8" t="str">
        <f>"2020892613"</f>
        <v>2020892613</v>
      </c>
      <c r="B765" s="9">
        <v>77</v>
      </c>
      <c r="C765" s="9">
        <f t="shared" si="33"/>
        <v>23.1</v>
      </c>
      <c r="D765" s="10">
        <v>82</v>
      </c>
      <c r="E765" s="9">
        <f t="shared" si="34"/>
        <v>57.4</v>
      </c>
      <c r="F765" s="9">
        <f t="shared" si="35"/>
        <v>80.5</v>
      </c>
    </row>
    <row r="766" s="1" customFormat="1" spans="1:6">
      <c r="A766" s="8" t="str">
        <f>"2020892614"</f>
        <v>2020892614</v>
      </c>
      <c r="B766" s="9">
        <v>0</v>
      </c>
      <c r="C766" s="9">
        <f t="shared" si="33"/>
        <v>0</v>
      </c>
      <c r="D766" s="10">
        <v>0</v>
      </c>
      <c r="E766" s="9">
        <f t="shared" si="34"/>
        <v>0</v>
      </c>
      <c r="F766" s="9">
        <f t="shared" si="35"/>
        <v>0</v>
      </c>
    </row>
    <row r="767" s="1" customFormat="1" spans="1:6">
      <c r="A767" s="8" t="str">
        <f>"2020892615"</f>
        <v>2020892615</v>
      </c>
      <c r="B767" s="9">
        <v>74</v>
      </c>
      <c r="C767" s="9">
        <f t="shared" si="33"/>
        <v>22.2</v>
      </c>
      <c r="D767" s="10">
        <v>68</v>
      </c>
      <c r="E767" s="9">
        <f t="shared" si="34"/>
        <v>47.6</v>
      </c>
      <c r="F767" s="9">
        <f t="shared" si="35"/>
        <v>69.8</v>
      </c>
    </row>
    <row r="768" s="1" customFormat="1" spans="1:6">
      <c r="A768" s="8" t="str">
        <f>"2020892616"</f>
        <v>2020892616</v>
      </c>
      <c r="B768" s="9">
        <v>0</v>
      </c>
      <c r="C768" s="9">
        <f t="shared" si="33"/>
        <v>0</v>
      </c>
      <c r="D768" s="10">
        <v>0</v>
      </c>
      <c r="E768" s="9">
        <f t="shared" si="34"/>
        <v>0</v>
      </c>
      <c r="F768" s="9">
        <f t="shared" si="35"/>
        <v>0</v>
      </c>
    </row>
    <row r="769" s="1" customFormat="1" spans="1:6">
      <c r="A769" s="8" t="str">
        <f>"2020892617"</f>
        <v>2020892617</v>
      </c>
      <c r="B769" s="9">
        <v>53</v>
      </c>
      <c r="C769" s="9">
        <f t="shared" si="33"/>
        <v>15.9</v>
      </c>
      <c r="D769" s="10">
        <v>62</v>
      </c>
      <c r="E769" s="9">
        <f t="shared" si="34"/>
        <v>43.4</v>
      </c>
      <c r="F769" s="9">
        <f t="shared" si="35"/>
        <v>59.3</v>
      </c>
    </row>
    <row r="770" s="1" customFormat="1" spans="1:6">
      <c r="A770" s="8" t="str">
        <f>"2020892618"</f>
        <v>2020892618</v>
      </c>
      <c r="B770" s="9">
        <v>75</v>
      </c>
      <c r="C770" s="9">
        <f t="shared" si="33"/>
        <v>22.5</v>
      </c>
      <c r="D770" s="10">
        <v>91</v>
      </c>
      <c r="E770" s="9">
        <f t="shared" si="34"/>
        <v>63.7</v>
      </c>
      <c r="F770" s="9">
        <f t="shared" si="35"/>
        <v>86.2</v>
      </c>
    </row>
    <row r="771" s="1" customFormat="1" spans="1:6">
      <c r="A771" s="8" t="str">
        <f>"2020892619"</f>
        <v>2020892619</v>
      </c>
      <c r="B771" s="9">
        <v>65</v>
      </c>
      <c r="C771" s="9">
        <f t="shared" ref="C771:C834" si="36">B771*0.3</f>
        <v>19.5</v>
      </c>
      <c r="D771" s="10">
        <v>70</v>
      </c>
      <c r="E771" s="9">
        <f t="shared" ref="E771:E834" si="37">D771*0.7</f>
        <v>49</v>
      </c>
      <c r="F771" s="9">
        <f t="shared" ref="F771:F834" si="38">C771+E771</f>
        <v>68.5</v>
      </c>
    </row>
    <row r="772" s="1" customFormat="1" spans="1:6">
      <c r="A772" s="8" t="str">
        <f>"2020892620"</f>
        <v>2020892620</v>
      </c>
      <c r="B772" s="9">
        <v>60</v>
      </c>
      <c r="C772" s="9">
        <f t="shared" si="36"/>
        <v>18</v>
      </c>
      <c r="D772" s="10">
        <v>75</v>
      </c>
      <c r="E772" s="9">
        <f t="shared" si="37"/>
        <v>52.5</v>
      </c>
      <c r="F772" s="9">
        <f t="shared" si="38"/>
        <v>70.5</v>
      </c>
    </row>
    <row r="773" s="1" customFormat="1" spans="1:6">
      <c r="A773" s="8" t="str">
        <f>"2020892621"</f>
        <v>2020892621</v>
      </c>
      <c r="B773" s="9">
        <v>67</v>
      </c>
      <c r="C773" s="9">
        <f t="shared" si="36"/>
        <v>20.1</v>
      </c>
      <c r="D773" s="10">
        <v>69</v>
      </c>
      <c r="E773" s="9">
        <f t="shared" si="37"/>
        <v>48.3</v>
      </c>
      <c r="F773" s="9">
        <f t="shared" si="38"/>
        <v>68.4</v>
      </c>
    </row>
    <row r="774" s="1" customFormat="1" spans="1:6">
      <c r="A774" s="8" t="str">
        <f>"2020892622"</f>
        <v>2020892622</v>
      </c>
      <c r="B774" s="9">
        <v>0</v>
      </c>
      <c r="C774" s="9">
        <f t="shared" si="36"/>
        <v>0</v>
      </c>
      <c r="D774" s="10">
        <v>0</v>
      </c>
      <c r="E774" s="9">
        <f t="shared" si="37"/>
        <v>0</v>
      </c>
      <c r="F774" s="9">
        <f t="shared" si="38"/>
        <v>0</v>
      </c>
    </row>
    <row r="775" s="1" customFormat="1" spans="1:6">
      <c r="A775" s="8" t="str">
        <f>"2020892623"</f>
        <v>2020892623</v>
      </c>
      <c r="B775" s="9">
        <v>71</v>
      </c>
      <c r="C775" s="9">
        <f t="shared" si="36"/>
        <v>21.3</v>
      </c>
      <c r="D775" s="10">
        <v>82</v>
      </c>
      <c r="E775" s="9">
        <f t="shared" si="37"/>
        <v>57.4</v>
      </c>
      <c r="F775" s="9">
        <f t="shared" si="38"/>
        <v>78.7</v>
      </c>
    </row>
    <row r="776" s="1" customFormat="1" spans="1:6">
      <c r="A776" s="8" t="str">
        <f>"2020892624"</f>
        <v>2020892624</v>
      </c>
      <c r="B776" s="9">
        <v>61</v>
      </c>
      <c r="C776" s="9">
        <f t="shared" si="36"/>
        <v>18.3</v>
      </c>
      <c r="D776" s="10">
        <v>86</v>
      </c>
      <c r="E776" s="9">
        <f t="shared" si="37"/>
        <v>60.2</v>
      </c>
      <c r="F776" s="9">
        <f t="shared" si="38"/>
        <v>78.5</v>
      </c>
    </row>
    <row r="777" s="1" customFormat="1" spans="1:6">
      <c r="A777" s="8" t="str">
        <f>"2020892625"</f>
        <v>2020892625</v>
      </c>
      <c r="B777" s="9">
        <v>0</v>
      </c>
      <c r="C777" s="9">
        <f t="shared" si="36"/>
        <v>0</v>
      </c>
      <c r="D777" s="10">
        <v>0</v>
      </c>
      <c r="E777" s="9">
        <f t="shared" si="37"/>
        <v>0</v>
      </c>
      <c r="F777" s="9">
        <f t="shared" si="38"/>
        <v>0</v>
      </c>
    </row>
    <row r="778" s="1" customFormat="1" spans="1:6">
      <c r="A778" s="8" t="str">
        <f>"2020892626"</f>
        <v>2020892626</v>
      </c>
      <c r="B778" s="9">
        <v>70</v>
      </c>
      <c r="C778" s="9">
        <f t="shared" si="36"/>
        <v>21</v>
      </c>
      <c r="D778" s="10">
        <v>81</v>
      </c>
      <c r="E778" s="9">
        <f t="shared" si="37"/>
        <v>56.7</v>
      </c>
      <c r="F778" s="9">
        <f t="shared" si="38"/>
        <v>77.7</v>
      </c>
    </row>
    <row r="779" s="1" customFormat="1" spans="1:6">
      <c r="A779" s="8" t="str">
        <f>"2020892627"</f>
        <v>2020892627</v>
      </c>
      <c r="B779" s="9">
        <v>65</v>
      </c>
      <c r="C779" s="9">
        <f t="shared" si="36"/>
        <v>19.5</v>
      </c>
      <c r="D779" s="10">
        <v>67</v>
      </c>
      <c r="E779" s="9">
        <f t="shared" si="37"/>
        <v>46.9</v>
      </c>
      <c r="F779" s="9">
        <f t="shared" si="38"/>
        <v>66.4</v>
      </c>
    </row>
    <row r="780" s="1" customFormat="1" spans="1:6">
      <c r="A780" s="8" t="str">
        <f>"2020892628"</f>
        <v>2020892628</v>
      </c>
      <c r="B780" s="9">
        <v>73</v>
      </c>
      <c r="C780" s="9">
        <f t="shared" si="36"/>
        <v>21.9</v>
      </c>
      <c r="D780" s="10">
        <v>79</v>
      </c>
      <c r="E780" s="9">
        <f t="shared" si="37"/>
        <v>55.3</v>
      </c>
      <c r="F780" s="9">
        <f t="shared" si="38"/>
        <v>77.2</v>
      </c>
    </row>
    <row r="781" s="1" customFormat="1" spans="1:6">
      <c r="A781" s="8" t="str">
        <f>"2020892629"</f>
        <v>2020892629</v>
      </c>
      <c r="B781" s="9">
        <v>70</v>
      </c>
      <c r="C781" s="9">
        <f t="shared" si="36"/>
        <v>21</v>
      </c>
      <c r="D781" s="10">
        <v>75</v>
      </c>
      <c r="E781" s="9">
        <f t="shared" si="37"/>
        <v>52.5</v>
      </c>
      <c r="F781" s="9">
        <f t="shared" si="38"/>
        <v>73.5</v>
      </c>
    </row>
    <row r="782" s="1" customFormat="1" spans="1:6">
      <c r="A782" s="8" t="str">
        <f>"2020892630"</f>
        <v>2020892630</v>
      </c>
      <c r="B782" s="9">
        <v>0</v>
      </c>
      <c r="C782" s="9">
        <f t="shared" si="36"/>
        <v>0</v>
      </c>
      <c r="D782" s="10">
        <v>0</v>
      </c>
      <c r="E782" s="9">
        <f t="shared" si="37"/>
        <v>0</v>
      </c>
      <c r="F782" s="9">
        <f t="shared" si="38"/>
        <v>0</v>
      </c>
    </row>
    <row r="783" s="1" customFormat="1" spans="1:6">
      <c r="A783" s="8" t="str">
        <f>"2020892701"</f>
        <v>2020892701</v>
      </c>
      <c r="B783" s="9">
        <v>69</v>
      </c>
      <c r="C783" s="9">
        <f t="shared" si="36"/>
        <v>20.7</v>
      </c>
      <c r="D783" s="10">
        <v>90</v>
      </c>
      <c r="E783" s="9">
        <f t="shared" si="37"/>
        <v>63</v>
      </c>
      <c r="F783" s="9">
        <f t="shared" si="38"/>
        <v>83.7</v>
      </c>
    </row>
    <row r="784" s="1" customFormat="1" spans="1:6">
      <c r="A784" s="8" t="str">
        <f>"2020892702"</f>
        <v>2020892702</v>
      </c>
      <c r="B784" s="9">
        <v>57</v>
      </c>
      <c r="C784" s="9">
        <f t="shared" si="36"/>
        <v>17.1</v>
      </c>
      <c r="D784" s="10">
        <v>81</v>
      </c>
      <c r="E784" s="9">
        <f t="shared" si="37"/>
        <v>56.7</v>
      </c>
      <c r="F784" s="9">
        <f t="shared" si="38"/>
        <v>73.8</v>
      </c>
    </row>
    <row r="785" s="1" customFormat="1" spans="1:6">
      <c r="A785" s="8" t="str">
        <f>"2020892703"</f>
        <v>2020892703</v>
      </c>
      <c r="B785" s="9">
        <v>60</v>
      </c>
      <c r="C785" s="9">
        <f t="shared" si="36"/>
        <v>18</v>
      </c>
      <c r="D785" s="10">
        <v>73</v>
      </c>
      <c r="E785" s="9">
        <f t="shared" si="37"/>
        <v>51.1</v>
      </c>
      <c r="F785" s="9">
        <f t="shared" si="38"/>
        <v>69.1</v>
      </c>
    </row>
    <row r="786" s="1" customFormat="1" spans="1:6">
      <c r="A786" s="8" t="str">
        <f>"2020892704"</f>
        <v>2020892704</v>
      </c>
      <c r="B786" s="9">
        <v>68</v>
      </c>
      <c r="C786" s="9">
        <f t="shared" si="36"/>
        <v>20.4</v>
      </c>
      <c r="D786" s="10">
        <v>64</v>
      </c>
      <c r="E786" s="9">
        <f t="shared" si="37"/>
        <v>44.8</v>
      </c>
      <c r="F786" s="9">
        <f t="shared" si="38"/>
        <v>65.2</v>
      </c>
    </row>
    <row r="787" s="1" customFormat="1" spans="1:6">
      <c r="A787" s="8" t="str">
        <f>"2020892705"</f>
        <v>2020892705</v>
      </c>
      <c r="B787" s="9">
        <v>59</v>
      </c>
      <c r="C787" s="9">
        <f t="shared" si="36"/>
        <v>17.7</v>
      </c>
      <c r="D787" s="10">
        <v>85</v>
      </c>
      <c r="E787" s="9">
        <f t="shared" si="37"/>
        <v>59.5</v>
      </c>
      <c r="F787" s="9">
        <f t="shared" si="38"/>
        <v>77.2</v>
      </c>
    </row>
    <row r="788" s="1" customFormat="1" spans="1:6">
      <c r="A788" s="8" t="str">
        <f>"2020892706"</f>
        <v>2020892706</v>
      </c>
      <c r="B788" s="9">
        <v>66</v>
      </c>
      <c r="C788" s="9">
        <f t="shared" si="36"/>
        <v>19.8</v>
      </c>
      <c r="D788" s="10">
        <v>74</v>
      </c>
      <c r="E788" s="9">
        <f t="shared" si="37"/>
        <v>51.8</v>
      </c>
      <c r="F788" s="9">
        <f t="shared" si="38"/>
        <v>71.6</v>
      </c>
    </row>
    <row r="789" s="1" customFormat="1" spans="1:6">
      <c r="A789" s="8" t="str">
        <f>"2020892707"</f>
        <v>2020892707</v>
      </c>
      <c r="B789" s="9">
        <v>76</v>
      </c>
      <c r="C789" s="9">
        <f t="shared" si="36"/>
        <v>22.8</v>
      </c>
      <c r="D789" s="10">
        <v>68</v>
      </c>
      <c r="E789" s="9">
        <f t="shared" si="37"/>
        <v>47.6</v>
      </c>
      <c r="F789" s="9">
        <f t="shared" si="38"/>
        <v>70.4</v>
      </c>
    </row>
    <row r="790" s="1" customFormat="1" spans="1:6">
      <c r="A790" s="8" t="str">
        <f>"2020892708"</f>
        <v>2020892708</v>
      </c>
      <c r="B790" s="9">
        <v>65</v>
      </c>
      <c r="C790" s="9">
        <f t="shared" si="36"/>
        <v>19.5</v>
      </c>
      <c r="D790" s="10">
        <v>73</v>
      </c>
      <c r="E790" s="9">
        <f t="shared" si="37"/>
        <v>51.1</v>
      </c>
      <c r="F790" s="9">
        <f t="shared" si="38"/>
        <v>70.6</v>
      </c>
    </row>
    <row r="791" s="1" customFormat="1" spans="1:6">
      <c r="A791" s="8" t="str">
        <f>"2020892709"</f>
        <v>2020892709</v>
      </c>
      <c r="B791" s="9">
        <v>66</v>
      </c>
      <c r="C791" s="9">
        <f t="shared" si="36"/>
        <v>19.8</v>
      </c>
      <c r="D791" s="10">
        <v>84</v>
      </c>
      <c r="E791" s="9">
        <f t="shared" si="37"/>
        <v>58.8</v>
      </c>
      <c r="F791" s="9">
        <f t="shared" si="38"/>
        <v>78.6</v>
      </c>
    </row>
    <row r="792" s="1" customFormat="1" spans="1:6">
      <c r="A792" s="8" t="str">
        <f>"2020892710"</f>
        <v>2020892710</v>
      </c>
      <c r="B792" s="9">
        <v>57</v>
      </c>
      <c r="C792" s="9">
        <f t="shared" si="36"/>
        <v>17.1</v>
      </c>
      <c r="D792" s="10">
        <v>67</v>
      </c>
      <c r="E792" s="9">
        <f t="shared" si="37"/>
        <v>46.9</v>
      </c>
      <c r="F792" s="9">
        <f t="shared" si="38"/>
        <v>64</v>
      </c>
    </row>
    <row r="793" s="1" customFormat="1" spans="1:6">
      <c r="A793" s="8" t="str">
        <f>"2020892711"</f>
        <v>2020892711</v>
      </c>
      <c r="B793" s="9">
        <v>60</v>
      </c>
      <c r="C793" s="9">
        <f t="shared" si="36"/>
        <v>18</v>
      </c>
      <c r="D793" s="10">
        <v>74</v>
      </c>
      <c r="E793" s="9">
        <f t="shared" si="37"/>
        <v>51.8</v>
      </c>
      <c r="F793" s="9">
        <f t="shared" si="38"/>
        <v>69.8</v>
      </c>
    </row>
    <row r="794" s="1" customFormat="1" spans="1:6">
      <c r="A794" s="8" t="str">
        <f>"2020892712"</f>
        <v>2020892712</v>
      </c>
      <c r="B794" s="9">
        <v>0</v>
      </c>
      <c r="C794" s="9">
        <f t="shared" si="36"/>
        <v>0</v>
      </c>
      <c r="D794" s="10">
        <v>0</v>
      </c>
      <c r="E794" s="9">
        <f t="shared" si="37"/>
        <v>0</v>
      </c>
      <c r="F794" s="9">
        <f t="shared" si="38"/>
        <v>0</v>
      </c>
    </row>
    <row r="795" s="1" customFormat="1" spans="1:6">
      <c r="A795" s="8" t="str">
        <f>"2020892713"</f>
        <v>2020892713</v>
      </c>
      <c r="B795" s="9">
        <v>57</v>
      </c>
      <c r="C795" s="9">
        <f t="shared" si="36"/>
        <v>17.1</v>
      </c>
      <c r="D795" s="10">
        <v>53</v>
      </c>
      <c r="E795" s="9">
        <f t="shared" si="37"/>
        <v>37.1</v>
      </c>
      <c r="F795" s="9">
        <f t="shared" si="38"/>
        <v>54.2</v>
      </c>
    </row>
    <row r="796" s="1" customFormat="1" spans="1:6">
      <c r="A796" s="8" t="str">
        <f>"2020892714"</f>
        <v>2020892714</v>
      </c>
      <c r="B796" s="9">
        <v>59</v>
      </c>
      <c r="C796" s="9">
        <f t="shared" si="36"/>
        <v>17.7</v>
      </c>
      <c r="D796" s="10">
        <v>80</v>
      </c>
      <c r="E796" s="9">
        <f t="shared" si="37"/>
        <v>56</v>
      </c>
      <c r="F796" s="9">
        <f t="shared" si="38"/>
        <v>73.7</v>
      </c>
    </row>
    <row r="797" s="1" customFormat="1" spans="1:6">
      <c r="A797" s="8" t="str">
        <f>"2020892715"</f>
        <v>2020892715</v>
      </c>
      <c r="B797" s="9">
        <v>67</v>
      </c>
      <c r="C797" s="9">
        <f t="shared" si="36"/>
        <v>20.1</v>
      </c>
      <c r="D797" s="10">
        <v>60</v>
      </c>
      <c r="E797" s="9">
        <f t="shared" si="37"/>
        <v>42</v>
      </c>
      <c r="F797" s="9">
        <f t="shared" si="38"/>
        <v>62.1</v>
      </c>
    </row>
    <row r="798" s="1" customFormat="1" spans="1:6">
      <c r="A798" s="8" t="str">
        <f>"2020892716"</f>
        <v>2020892716</v>
      </c>
      <c r="B798" s="9">
        <v>63</v>
      </c>
      <c r="C798" s="9">
        <f t="shared" si="36"/>
        <v>18.9</v>
      </c>
      <c r="D798" s="10">
        <v>90</v>
      </c>
      <c r="E798" s="9">
        <f t="shared" si="37"/>
        <v>63</v>
      </c>
      <c r="F798" s="9">
        <f t="shared" si="38"/>
        <v>81.9</v>
      </c>
    </row>
    <row r="799" s="1" customFormat="1" spans="1:6">
      <c r="A799" s="8" t="str">
        <f>"2020892717"</f>
        <v>2020892717</v>
      </c>
      <c r="B799" s="9">
        <v>53</v>
      </c>
      <c r="C799" s="9">
        <f t="shared" si="36"/>
        <v>15.9</v>
      </c>
      <c r="D799" s="10">
        <v>81</v>
      </c>
      <c r="E799" s="9">
        <f t="shared" si="37"/>
        <v>56.7</v>
      </c>
      <c r="F799" s="9">
        <f t="shared" si="38"/>
        <v>72.6</v>
      </c>
    </row>
    <row r="800" s="1" customFormat="1" spans="1:6">
      <c r="A800" s="8" t="str">
        <f>"2020892718"</f>
        <v>2020892718</v>
      </c>
      <c r="B800" s="9">
        <v>0</v>
      </c>
      <c r="C800" s="9">
        <f t="shared" si="36"/>
        <v>0</v>
      </c>
      <c r="D800" s="10">
        <v>0</v>
      </c>
      <c r="E800" s="9">
        <f t="shared" si="37"/>
        <v>0</v>
      </c>
      <c r="F800" s="9">
        <f t="shared" si="38"/>
        <v>0</v>
      </c>
    </row>
    <row r="801" s="1" customFormat="1" spans="1:6">
      <c r="A801" s="8" t="str">
        <f>"2020892719"</f>
        <v>2020892719</v>
      </c>
      <c r="B801" s="9">
        <v>68</v>
      </c>
      <c r="C801" s="9">
        <f t="shared" si="36"/>
        <v>20.4</v>
      </c>
      <c r="D801" s="10">
        <v>69</v>
      </c>
      <c r="E801" s="9">
        <f t="shared" si="37"/>
        <v>48.3</v>
      </c>
      <c r="F801" s="9">
        <f t="shared" si="38"/>
        <v>68.7</v>
      </c>
    </row>
    <row r="802" s="1" customFormat="1" spans="1:6">
      <c r="A802" s="8" t="str">
        <f>"2020892720"</f>
        <v>2020892720</v>
      </c>
      <c r="B802" s="9">
        <v>56</v>
      </c>
      <c r="C802" s="9">
        <f t="shared" si="36"/>
        <v>16.8</v>
      </c>
      <c r="D802" s="10">
        <v>58</v>
      </c>
      <c r="E802" s="9">
        <f t="shared" si="37"/>
        <v>40.6</v>
      </c>
      <c r="F802" s="9">
        <f t="shared" si="38"/>
        <v>57.4</v>
      </c>
    </row>
    <row r="803" s="1" customFormat="1" spans="1:6">
      <c r="A803" s="8" t="str">
        <f>"2020892721"</f>
        <v>2020892721</v>
      </c>
      <c r="B803" s="9">
        <v>73</v>
      </c>
      <c r="C803" s="9">
        <f t="shared" si="36"/>
        <v>21.9</v>
      </c>
      <c r="D803" s="10">
        <v>78</v>
      </c>
      <c r="E803" s="9">
        <f t="shared" si="37"/>
        <v>54.6</v>
      </c>
      <c r="F803" s="9">
        <f t="shared" si="38"/>
        <v>76.5</v>
      </c>
    </row>
    <row r="804" s="1" customFormat="1" spans="1:6">
      <c r="A804" s="8" t="str">
        <f>"2020892722"</f>
        <v>2020892722</v>
      </c>
      <c r="B804" s="9">
        <v>71</v>
      </c>
      <c r="C804" s="9">
        <f t="shared" si="36"/>
        <v>21.3</v>
      </c>
      <c r="D804" s="10">
        <v>83</v>
      </c>
      <c r="E804" s="9">
        <f t="shared" si="37"/>
        <v>58.1</v>
      </c>
      <c r="F804" s="9">
        <f t="shared" si="38"/>
        <v>79.4</v>
      </c>
    </row>
    <row r="805" s="1" customFormat="1" spans="1:6">
      <c r="A805" s="8" t="str">
        <f>"2020892723"</f>
        <v>2020892723</v>
      </c>
      <c r="B805" s="9">
        <v>63</v>
      </c>
      <c r="C805" s="9">
        <f t="shared" si="36"/>
        <v>18.9</v>
      </c>
      <c r="D805" s="10">
        <v>93</v>
      </c>
      <c r="E805" s="9">
        <f t="shared" si="37"/>
        <v>65.1</v>
      </c>
      <c r="F805" s="9">
        <f t="shared" si="38"/>
        <v>84</v>
      </c>
    </row>
    <row r="806" s="1" customFormat="1" spans="1:6">
      <c r="A806" s="8" t="str">
        <f>"2020892724"</f>
        <v>2020892724</v>
      </c>
      <c r="B806" s="9">
        <v>68</v>
      </c>
      <c r="C806" s="9">
        <f t="shared" si="36"/>
        <v>20.4</v>
      </c>
      <c r="D806" s="10">
        <v>79</v>
      </c>
      <c r="E806" s="9">
        <f t="shared" si="37"/>
        <v>55.3</v>
      </c>
      <c r="F806" s="9">
        <f t="shared" si="38"/>
        <v>75.7</v>
      </c>
    </row>
    <row r="807" s="1" customFormat="1" spans="1:6">
      <c r="A807" s="8" t="str">
        <f>"2020892725"</f>
        <v>2020892725</v>
      </c>
      <c r="B807" s="9">
        <v>74</v>
      </c>
      <c r="C807" s="9">
        <f t="shared" si="36"/>
        <v>22.2</v>
      </c>
      <c r="D807" s="10">
        <v>83</v>
      </c>
      <c r="E807" s="9">
        <f t="shared" si="37"/>
        <v>58.1</v>
      </c>
      <c r="F807" s="9">
        <f t="shared" si="38"/>
        <v>80.3</v>
      </c>
    </row>
    <row r="808" s="1" customFormat="1" spans="1:6">
      <c r="A808" s="8" t="str">
        <f>"2020892726"</f>
        <v>2020892726</v>
      </c>
      <c r="B808" s="9">
        <v>65</v>
      </c>
      <c r="C808" s="9">
        <f t="shared" si="36"/>
        <v>19.5</v>
      </c>
      <c r="D808" s="10">
        <v>92</v>
      </c>
      <c r="E808" s="9">
        <f t="shared" si="37"/>
        <v>64.4</v>
      </c>
      <c r="F808" s="9">
        <f t="shared" si="38"/>
        <v>83.9</v>
      </c>
    </row>
    <row r="809" s="1" customFormat="1" spans="1:6">
      <c r="A809" s="8" t="str">
        <f>"2020892727"</f>
        <v>2020892727</v>
      </c>
      <c r="B809" s="9">
        <v>78</v>
      </c>
      <c r="C809" s="9">
        <f t="shared" si="36"/>
        <v>23.4</v>
      </c>
      <c r="D809" s="10">
        <v>76</v>
      </c>
      <c r="E809" s="9">
        <f t="shared" si="37"/>
        <v>53.2</v>
      </c>
      <c r="F809" s="9">
        <f t="shared" si="38"/>
        <v>76.6</v>
      </c>
    </row>
    <row r="810" s="1" customFormat="1" spans="1:6">
      <c r="A810" s="8" t="str">
        <f>"2020892728"</f>
        <v>2020892728</v>
      </c>
      <c r="B810" s="9">
        <v>0</v>
      </c>
      <c r="C810" s="9">
        <f t="shared" si="36"/>
        <v>0</v>
      </c>
      <c r="D810" s="10">
        <v>0</v>
      </c>
      <c r="E810" s="9">
        <f t="shared" si="37"/>
        <v>0</v>
      </c>
      <c r="F810" s="9">
        <f t="shared" si="38"/>
        <v>0</v>
      </c>
    </row>
    <row r="811" s="1" customFormat="1" spans="1:6">
      <c r="A811" s="8" t="str">
        <f>"2020892729"</f>
        <v>2020892729</v>
      </c>
      <c r="B811" s="9">
        <v>64</v>
      </c>
      <c r="C811" s="9">
        <f t="shared" si="36"/>
        <v>19.2</v>
      </c>
      <c r="D811" s="10">
        <v>88</v>
      </c>
      <c r="E811" s="9">
        <f t="shared" si="37"/>
        <v>61.6</v>
      </c>
      <c r="F811" s="9">
        <f t="shared" si="38"/>
        <v>80.8</v>
      </c>
    </row>
    <row r="812" s="1" customFormat="1" spans="1:6">
      <c r="A812" s="8" t="str">
        <f>"2020892730"</f>
        <v>2020892730</v>
      </c>
      <c r="B812" s="9">
        <v>0</v>
      </c>
      <c r="C812" s="9">
        <f t="shared" si="36"/>
        <v>0</v>
      </c>
      <c r="D812" s="10">
        <v>0</v>
      </c>
      <c r="E812" s="9">
        <f t="shared" si="37"/>
        <v>0</v>
      </c>
      <c r="F812" s="9">
        <f t="shared" si="38"/>
        <v>0</v>
      </c>
    </row>
    <row r="813" s="1" customFormat="1" spans="1:6">
      <c r="A813" s="8" t="str">
        <f>"2020892801"</f>
        <v>2020892801</v>
      </c>
      <c r="B813" s="9">
        <v>73</v>
      </c>
      <c r="C813" s="9">
        <f t="shared" si="36"/>
        <v>21.9</v>
      </c>
      <c r="D813" s="10">
        <v>76</v>
      </c>
      <c r="E813" s="9">
        <f t="shared" si="37"/>
        <v>53.2</v>
      </c>
      <c r="F813" s="9">
        <f t="shared" si="38"/>
        <v>75.1</v>
      </c>
    </row>
    <row r="814" s="1" customFormat="1" spans="1:6">
      <c r="A814" s="8" t="str">
        <f>"2020892802"</f>
        <v>2020892802</v>
      </c>
      <c r="B814" s="9">
        <v>70</v>
      </c>
      <c r="C814" s="9">
        <f t="shared" si="36"/>
        <v>21</v>
      </c>
      <c r="D814" s="10">
        <v>77</v>
      </c>
      <c r="E814" s="9">
        <f t="shared" si="37"/>
        <v>53.9</v>
      </c>
      <c r="F814" s="9">
        <f t="shared" si="38"/>
        <v>74.9</v>
      </c>
    </row>
    <row r="815" s="1" customFormat="1" spans="1:6">
      <c r="A815" s="8" t="str">
        <f>"2020892803"</f>
        <v>2020892803</v>
      </c>
      <c r="B815" s="9">
        <v>62</v>
      </c>
      <c r="C815" s="9">
        <f t="shared" si="36"/>
        <v>18.6</v>
      </c>
      <c r="D815" s="10">
        <v>71</v>
      </c>
      <c r="E815" s="9">
        <f t="shared" si="37"/>
        <v>49.7</v>
      </c>
      <c r="F815" s="9">
        <f t="shared" si="38"/>
        <v>68.3</v>
      </c>
    </row>
    <row r="816" s="1" customFormat="1" spans="1:6">
      <c r="A816" s="8" t="str">
        <f>"2020892804"</f>
        <v>2020892804</v>
      </c>
      <c r="B816" s="9">
        <v>71</v>
      </c>
      <c r="C816" s="9">
        <f t="shared" si="36"/>
        <v>21.3</v>
      </c>
      <c r="D816" s="10">
        <v>79</v>
      </c>
      <c r="E816" s="9">
        <f t="shared" si="37"/>
        <v>55.3</v>
      </c>
      <c r="F816" s="9">
        <f t="shared" si="38"/>
        <v>76.6</v>
      </c>
    </row>
    <row r="817" s="1" customFormat="1" spans="1:6">
      <c r="A817" s="8" t="str">
        <f>"2020892805"</f>
        <v>2020892805</v>
      </c>
      <c r="B817" s="9">
        <v>65</v>
      </c>
      <c r="C817" s="9">
        <f t="shared" si="36"/>
        <v>19.5</v>
      </c>
      <c r="D817" s="10">
        <v>87</v>
      </c>
      <c r="E817" s="9">
        <f t="shared" si="37"/>
        <v>60.9</v>
      </c>
      <c r="F817" s="9">
        <f t="shared" si="38"/>
        <v>80.4</v>
      </c>
    </row>
    <row r="818" s="1" customFormat="1" spans="1:6">
      <c r="A818" s="8" t="str">
        <f>"2020892806"</f>
        <v>2020892806</v>
      </c>
      <c r="B818" s="9">
        <v>0</v>
      </c>
      <c r="C818" s="9">
        <f t="shared" si="36"/>
        <v>0</v>
      </c>
      <c r="D818" s="10">
        <v>0</v>
      </c>
      <c r="E818" s="9">
        <f t="shared" si="37"/>
        <v>0</v>
      </c>
      <c r="F818" s="9">
        <f t="shared" si="38"/>
        <v>0</v>
      </c>
    </row>
    <row r="819" s="1" customFormat="1" spans="1:6">
      <c r="A819" s="8" t="str">
        <f>"2020892807"</f>
        <v>2020892807</v>
      </c>
      <c r="B819" s="9">
        <v>0</v>
      </c>
      <c r="C819" s="9">
        <f t="shared" si="36"/>
        <v>0</v>
      </c>
      <c r="D819" s="10">
        <v>0</v>
      </c>
      <c r="E819" s="9">
        <f t="shared" si="37"/>
        <v>0</v>
      </c>
      <c r="F819" s="9">
        <f t="shared" si="38"/>
        <v>0</v>
      </c>
    </row>
    <row r="820" s="1" customFormat="1" spans="1:6">
      <c r="A820" s="8" t="str">
        <f>"2020892808"</f>
        <v>2020892808</v>
      </c>
      <c r="B820" s="9">
        <v>76</v>
      </c>
      <c r="C820" s="9">
        <f t="shared" si="36"/>
        <v>22.8</v>
      </c>
      <c r="D820" s="10">
        <v>83</v>
      </c>
      <c r="E820" s="9">
        <f t="shared" si="37"/>
        <v>58.1</v>
      </c>
      <c r="F820" s="9">
        <f t="shared" si="38"/>
        <v>80.9</v>
      </c>
    </row>
    <row r="821" s="1" customFormat="1" spans="1:6">
      <c r="A821" s="8" t="str">
        <f>"2020892809"</f>
        <v>2020892809</v>
      </c>
      <c r="B821" s="9">
        <v>69</v>
      </c>
      <c r="C821" s="9">
        <f t="shared" si="36"/>
        <v>20.7</v>
      </c>
      <c r="D821" s="10">
        <v>72</v>
      </c>
      <c r="E821" s="9">
        <f t="shared" si="37"/>
        <v>50.4</v>
      </c>
      <c r="F821" s="9">
        <f t="shared" si="38"/>
        <v>71.1</v>
      </c>
    </row>
    <row r="822" s="1" customFormat="1" spans="1:6">
      <c r="A822" s="8" t="str">
        <f>"2020892810"</f>
        <v>2020892810</v>
      </c>
      <c r="B822" s="9">
        <v>0</v>
      </c>
      <c r="C822" s="9">
        <f t="shared" si="36"/>
        <v>0</v>
      </c>
      <c r="D822" s="10">
        <v>0</v>
      </c>
      <c r="E822" s="9">
        <f t="shared" si="37"/>
        <v>0</v>
      </c>
      <c r="F822" s="9">
        <f t="shared" si="38"/>
        <v>0</v>
      </c>
    </row>
    <row r="823" s="1" customFormat="1" spans="1:6">
      <c r="A823" s="8" t="str">
        <f>"2020892811"</f>
        <v>2020892811</v>
      </c>
      <c r="B823" s="9">
        <v>57</v>
      </c>
      <c r="C823" s="9">
        <f t="shared" si="36"/>
        <v>17.1</v>
      </c>
      <c r="D823" s="10">
        <v>88</v>
      </c>
      <c r="E823" s="9">
        <f t="shared" si="37"/>
        <v>61.6</v>
      </c>
      <c r="F823" s="9">
        <f t="shared" si="38"/>
        <v>78.7</v>
      </c>
    </row>
    <row r="824" s="1" customFormat="1" spans="1:6">
      <c r="A824" s="8" t="str">
        <f>"2020892812"</f>
        <v>2020892812</v>
      </c>
      <c r="B824" s="9">
        <v>0</v>
      </c>
      <c r="C824" s="9">
        <f t="shared" si="36"/>
        <v>0</v>
      </c>
      <c r="D824" s="10">
        <v>0</v>
      </c>
      <c r="E824" s="9">
        <f t="shared" si="37"/>
        <v>0</v>
      </c>
      <c r="F824" s="9">
        <f t="shared" si="38"/>
        <v>0</v>
      </c>
    </row>
    <row r="825" s="1" customFormat="1" spans="1:6">
      <c r="A825" s="8" t="str">
        <f>"2020892813"</f>
        <v>2020892813</v>
      </c>
      <c r="B825" s="9">
        <v>67</v>
      </c>
      <c r="C825" s="9">
        <f t="shared" si="36"/>
        <v>20.1</v>
      </c>
      <c r="D825" s="10">
        <v>76</v>
      </c>
      <c r="E825" s="9">
        <f t="shared" si="37"/>
        <v>53.2</v>
      </c>
      <c r="F825" s="9">
        <f t="shared" si="38"/>
        <v>73.3</v>
      </c>
    </row>
    <row r="826" s="1" customFormat="1" spans="1:6">
      <c r="A826" s="8" t="str">
        <f>"2020892814"</f>
        <v>2020892814</v>
      </c>
      <c r="B826" s="9">
        <v>64</v>
      </c>
      <c r="C826" s="9">
        <f t="shared" si="36"/>
        <v>19.2</v>
      </c>
      <c r="D826" s="10">
        <v>73</v>
      </c>
      <c r="E826" s="9">
        <f t="shared" si="37"/>
        <v>51.1</v>
      </c>
      <c r="F826" s="9">
        <f t="shared" si="38"/>
        <v>70.3</v>
      </c>
    </row>
    <row r="827" s="1" customFormat="1" spans="1:6">
      <c r="A827" s="8" t="str">
        <f>"2020892815"</f>
        <v>2020892815</v>
      </c>
      <c r="B827" s="9">
        <v>66</v>
      </c>
      <c r="C827" s="9">
        <f t="shared" si="36"/>
        <v>19.8</v>
      </c>
      <c r="D827" s="10">
        <v>69</v>
      </c>
      <c r="E827" s="9">
        <f t="shared" si="37"/>
        <v>48.3</v>
      </c>
      <c r="F827" s="9">
        <f t="shared" si="38"/>
        <v>68.1</v>
      </c>
    </row>
    <row r="828" s="1" customFormat="1" spans="1:6">
      <c r="A828" s="8" t="str">
        <f>"2020892816"</f>
        <v>2020892816</v>
      </c>
      <c r="B828" s="9">
        <v>70</v>
      </c>
      <c r="C828" s="9">
        <f t="shared" si="36"/>
        <v>21</v>
      </c>
      <c r="D828" s="10">
        <v>74</v>
      </c>
      <c r="E828" s="9">
        <f t="shared" si="37"/>
        <v>51.8</v>
      </c>
      <c r="F828" s="9">
        <f t="shared" si="38"/>
        <v>72.8</v>
      </c>
    </row>
    <row r="829" s="1" customFormat="1" spans="1:6">
      <c r="A829" s="8" t="str">
        <f>"2020892817"</f>
        <v>2020892817</v>
      </c>
      <c r="B829" s="9">
        <v>59</v>
      </c>
      <c r="C829" s="9">
        <f t="shared" si="36"/>
        <v>17.7</v>
      </c>
      <c r="D829" s="10">
        <v>73</v>
      </c>
      <c r="E829" s="9">
        <f t="shared" si="37"/>
        <v>51.1</v>
      </c>
      <c r="F829" s="9">
        <f t="shared" si="38"/>
        <v>68.8</v>
      </c>
    </row>
    <row r="830" s="1" customFormat="1" spans="1:6">
      <c r="A830" s="8" t="str">
        <f>"2020892818"</f>
        <v>2020892818</v>
      </c>
      <c r="B830" s="9">
        <v>59</v>
      </c>
      <c r="C830" s="9">
        <f t="shared" si="36"/>
        <v>17.7</v>
      </c>
      <c r="D830" s="10">
        <v>70</v>
      </c>
      <c r="E830" s="9">
        <f t="shared" si="37"/>
        <v>49</v>
      </c>
      <c r="F830" s="9">
        <f t="shared" si="38"/>
        <v>66.7</v>
      </c>
    </row>
    <row r="831" s="1" customFormat="1" spans="1:6">
      <c r="A831" s="8" t="str">
        <f>"2020892819"</f>
        <v>2020892819</v>
      </c>
      <c r="B831" s="9">
        <v>66</v>
      </c>
      <c r="C831" s="9">
        <f t="shared" si="36"/>
        <v>19.8</v>
      </c>
      <c r="D831" s="10">
        <v>79</v>
      </c>
      <c r="E831" s="9">
        <f t="shared" si="37"/>
        <v>55.3</v>
      </c>
      <c r="F831" s="9">
        <f t="shared" si="38"/>
        <v>75.1</v>
      </c>
    </row>
    <row r="832" s="1" customFormat="1" spans="1:6">
      <c r="A832" s="8" t="str">
        <f>"2020892820"</f>
        <v>2020892820</v>
      </c>
      <c r="B832" s="9">
        <v>71</v>
      </c>
      <c r="C832" s="9">
        <f t="shared" si="36"/>
        <v>21.3</v>
      </c>
      <c r="D832" s="10">
        <v>92</v>
      </c>
      <c r="E832" s="9">
        <f t="shared" si="37"/>
        <v>64.4</v>
      </c>
      <c r="F832" s="9">
        <f t="shared" si="38"/>
        <v>85.7</v>
      </c>
    </row>
    <row r="833" s="1" customFormat="1" spans="1:6">
      <c r="A833" s="8" t="str">
        <f>"2020892821"</f>
        <v>2020892821</v>
      </c>
      <c r="B833" s="9">
        <v>68</v>
      </c>
      <c r="C833" s="9">
        <f t="shared" si="36"/>
        <v>20.4</v>
      </c>
      <c r="D833" s="10">
        <v>67</v>
      </c>
      <c r="E833" s="9">
        <f t="shared" si="37"/>
        <v>46.9</v>
      </c>
      <c r="F833" s="9">
        <f t="shared" si="38"/>
        <v>67.3</v>
      </c>
    </row>
    <row r="834" s="1" customFormat="1" spans="1:6">
      <c r="A834" s="8" t="str">
        <f>"2020892822"</f>
        <v>2020892822</v>
      </c>
      <c r="B834" s="9">
        <v>73</v>
      </c>
      <c r="C834" s="9">
        <f t="shared" si="36"/>
        <v>21.9</v>
      </c>
      <c r="D834" s="10">
        <v>60</v>
      </c>
      <c r="E834" s="9">
        <f t="shared" si="37"/>
        <v>42</v>
      </c>
      <c r="F834" s="9">
        <f t="shared" si="38"/>
        <v>63.9</v>
      </c>
    </row>
    <row r="835" s="1" customFormat="1" spans="1:6">
      <c r="A835" s="8" t="str">
        <f>"2020892823"</f>
        <v>2020892823</v>
      </c>
      <c r="B835" s="9">
        <v>53</v>
      </c>
      <c r="C835" s="9">
        <f t="shared" ref="C835:C898" si="39">B835*0.3</f>
        <v>15.9</v>
      </c>
      <c r="D835" s="10">
        <v>68</v>
      </c>
      <c r="E835" s="9">
        <f t="shared" ref="E835:E898" si="40">D835*0.7</f>
        <v>47.6</v>
      </c>
      <c r="F835" s="9">
        <f t="shared" ref="F835:F898" si="41">C835+E835</f>
        <v>63.5</v>
      </c>
    </row>
    <row r="836" s="1" customFormat="1" spans="1:6">
      <c r="A836" s="8" t="str">
        <f>"2020892824"</f>
        <v>2020892824</v>
      </c>
      <c r="B836" s="9">
        <v>75</v>
      </c>
      <c r="C836" s="9">
        <f t="shared" si="39"/>
        <v>22.5</v>
      </c>
      <c r="D836" s="10">
        <v>61</v>
      </c>
      <c r="E836" s="9">
        <f t="shared" si="40"/>
        <v>42.7</v>
      </c>
      <c r="F836" s="9">
        <f t="shared" si="41"/>
        <v>65.2</v>
      </c>
    </row>
    <row r="837" s="1" customFormat="1" spans="1:6">
      <c r="A837" s="8" t="str">
        <f>"2020892825"</f>
        <v>2020892825</v>
      </c>
      <c r="B837" s="9">
        <v>76</v>
      </c>
      <c r="C837" s="9">
        <f t="shared" si="39"/>
        <v>22.8</v>
      </c>
      <c r="D837" s="10">
        <v>79</v>
      </c>
      <c r="E837" s="9">
        <f t="shared" si="40"/>
        <v>55.3</v>
      </c>
      <c r="F837" s="9">
        <f t="shared" si="41"/>
        <v>78.1</v>
      </c>
    </row>
    <row r="838" s="1" customFormat="1" spans="1:6">
      <c r="A838" s="8" t="str">
        <f>"2020892826"</f>
        <v>2020892826</v>
      </c>
      <c r="B838" s="9">
        <v>54</v>
      </c>
      <c r="C838" s="9">
        <f t="shared" si="39"/>
        <v>16.2</v>
      </c>
      <c r="D838" s="10">
        <v>86</v>
      </c>
      <c r="E838" s="9">
        <f t="shared" si="40"/>
        <v>60.2</v>
      </c>
      <c r="F838" s="9">
        <f t="shared" si="41"/>
        <v>76.4</v>
      </c>
    </row>
    <row r="839" s="1" customFormat="1" spans="1:6">
      <c r="A839" s="8" t="str">
        <f>"2020892827"</f>
        <v>2020892827</v>
      </c>
      <c r="B839" s="9">
        <v>57</v>
      </c>
      <c r="C839" s="9">
        <f t="shared" si="39"/>
        <v>17.1</v>
      </c>
      <c r="D839" s="10">
        <v>65</v>
      </c>
      <c r="E839" s="9">
        <f t="shared" si="40"/>
        <v>45.5</v>
      </c>
      <c r="F839" s="9">
        <f t="shared" si="41"/>
        <v>62.6</v>
      </c>
    </row>
    <row r="840" s="1" customFormat="1" spans="1:6">
      <c r="A840" s="8" t="str">
        <f>"2020892828"</f>
        <v>2020892828</v>
      </c>
      <c r="B840" s="9">
        <v>72</v>
      </c>
      <c r="C840" s="9">
        <f t="shared" si="39"/>
        <v>21.6</v>
      </c>
      <c r="D840" s="10">
        <v>59</v>
      </c>
      <c r="E840" s="9">
        <f t="shared" si="40"/>
        <v>41.3</v>
      </c>
      <c r="F840" s="9">
        <f t="shared" si="41"/>
        <v>62.9</v>
      </c>
    </row>
    <row r="841" s="1" customFormat="1" spans="1:6">
      <c r="A841" s="8" t="str">
        <f>"2020892829"</f>
        <v>2020892829</v>
      </c>
      <c r="B841" s="9">
        <v>71</v>
      </c>
      <c r="C841" s="9">
        <f t="shared" si="39"/>
        <v>21.3</v>
      </c>
      <c r="D841" s="10">
        <v>78</v>
      </c>
      <c r="E841" s="9">
        <f t="shared" si="40"/>
        <v>54.6</v>
      </c>
      <c r="F841" s="9">
        <f t="shared" si="41"/>
        <v>75.9</v>
      </c>
    </row>
    <row r="842" s="1" customFormat="1" spans="1:6">
      <c r="A842" s="8" t="str">
        <f>"2020892830"</f>
        <v>2020892830</v>
      </c>
      <c r="B842" s="9">
        <v>63</v>
      </c>
      <c r="C842" s="9">
        <f t="shared" si="39"/>
        <v>18.9</v>
      </c>
      <c r="D842" s="10">
        <v>66</v>
      </c>
      <c r="E842" s="9">
        <f t="shared" si="40"/>
        <v>46.2</v>
      </c>
      <c r="F842" s="9">
        <f t="shared" si="41"/>
        <v>65.1</v>
      </c>
    </row>
    <row r="843" s="1" customFormat="1" spans="1:6">
      <c r="A843" s="8" t="str">
        <f>"2020892901"</f>
        <v>2020892901</v>
      </c>
      <c r="B843" s="9">
        <v>58</v>
      </c>
      <c r="C843" s="9">
        <f t="shared" si="39"/>
        <v>17.4</v>
      </c>
      <c r="D843" s="10">
        <v>81</v>
      </c>
      <c r="E843" s="9">
        <f t="shared" si="40"/>
        <v>56.7</v>
      </c>
      <c r="F843" s="9">
        <f t="shared" si="41"/>
        <v>74.1</v>
      </c>
    </row>
    <row r="844" s="1" customFormat="1" spans="1:6">
      <c r="A844" s="8" t="str">
        <f>"2020892902"</f>
        <v>2020892902</v>
      </c>
      <c r="B844" s="9">
        <v>74</v>
      </c>
      <c r="C844" s="9">
        <f t="shared" si="39"/>
        <v>22.2</v>
      </c>
      <c r="D844" s="10">
        <v>90</v>
      </c>
      <c r="E844" s="9">
        <f t="shared" si="40"/>
        <v>63</v>
      </c>
      <c r="F844" s="9">
        <f t="shared" si="41"/>
        <v>85.2</v>
      </c>
    </row>
    <row r="845" s="1" customFormat="1" spans="1:6">
      <c r="A845" s="8" t="str">
        <f>"2020892903"</f>
        <v>2020892903</v>
      </c>
      <c r="B845" s="9">
        <v>63</v>
      </c>
      <c r="C845" s="9">
        <f t="shared" si="39"/>
        <v>18.9</v>
      </c>
      <c r="D845" s="10">
        <v>78</v>
      </c>
      <c r="E845" s="9">
        <f t="shared" si="40"/>
        <v>54.6</v>
      </c>
      <c r="F845" s="9">
        <f t="shared" si="41"/>
        <v>73.5</v>
      </c>
    </row>
    <row r="846" s="1" customFormat="1" spans="1:6">
      <c r="A846" s="8" t="str">
        <f>"2020892904"</f>
        <v>2020892904</v>
      </c>
      <c r="B846" s="9">
        <v>66</v>
      </c>
      <c r="C846" s="9">
        <f t="shared" si="39"/>
        <v>19.8</v>
      </c>
      <c r="D846" s="10">
        <v>77</v>
      </c>
      <c r="E846" s="9">
        <f t="shared" si="40"/>
        <v>53.9</v>
      </c>
      <c r="F846" s="9">
        <f t="shared" si="41"/>
        <v>73.7</v>
      </c>
    </row>
    <row r="847" s="1" customFormat="1" spans="1:6">
      <c r="A847" s="8" t="str">
        <f>"2020892905"</f>
        <v>2020892905</v>
      </c>
      <c r="B847" s="9">
        <v>63</v>
      </c>
      <c r="C847" s="9">
        <f t="shared" si="39"/>
        <v>18.9</v>
      </c>
      <c r="D847" s="10">
        <v>73</v>
      </c>
      <c r="E847" s="9">
        <f t="shared" si="40"/>
        <v>51.1</v>
      </c>
      <c r="F847" s="9">
        <f t="shared" si="41"/>
        <v>70</v>
      </c>
    </row>
    <row r="848" s="1" customFormat="1" spans="1:6">
      <c r="A848" s="8" t="str">
        <f>"2020892906"</f>
        <v>2020892906</v>
      </c>
      <c r="B848" s="9">
        <v>0</v>
      </c>
      <c r="C848" s="9">
        <f t="shared" si="39"/>
        <v>0</v>
      </c>
      <c r="D848" s="10">
        <v>0</v>
      </c>
      <c r="E848" s="9">
        <f t="shared" si="40"/>
        <v>0</v>
      </c>
      <c r="F848" s="9">
        <f t="shared" si="41"/>
        <v>0</v>
      </c>
    </row>
    <row r="849" s="1" customFormat="1" spans="1:6">
      <c r="A849" s="8" t="str">
        <f>"2020892907"</f>
        <v>2020892907</v>
      </c>
      <c r="B849" s="9">
        <v>68</v>
      </c>
      <c r="C849" s="9">
        <f t="shared" si="39"/>
        <v>20.4</v>
      </c>
      <c r="D849" s="10">
        <v>91</v>
      </c>
      <c r="E849" s="9">
        <f t="shared" si="40"/>
        <v>63.7</v>
      </c>
      <c r="F849" s="9">
        <f t="shared" si="41"/>
        <v>84.1</v>
      </c>
    </row>
    <row r="850" s="1" customFormat="1" spans="1:6">
      <c r="A850" s="8" t="str">
        <f>"2020892908"</f>
        <v>2020892908</v>
      </c>
      <c r="B850" s="9">
        <v>59</v>
      </c>
      <c r="C850" s="9">
        <f t="shared" si="39"/>
        <v>17.7</v>
      </c>
      <c r="D850" s="10">
        <v>80</v>
      </c>
      <c r="E850" s="9">
        <f t="shared" si="40"/>
        <v>56</v>
      </c>
      <c r="F850" s="9">
        <f t="shared" si="41"/>
        <v>73.7</v>
      </c>
    </row>
    <row r="851" s="1" customFormat="1" spans="1:6">
      <c r="A851" s="8" t="str">
        <f>"2020892909"</f>
        <v>2020892909</v>
      </c>
      <c r="B851" s="9">
        <v>54</v>
      </c>
      <c r="C851" s="9">
        <f t="shared" si="39"/>
        <v>16.2</v>
      </c>
      <c r="D851" s="10">
        <v>60</v>
      </c>
      <c r="E851" s="9">
        <f t="shared" si="40"/>
        <v>42</v>
      </c>
      <c r="F851" s="9">
        <f t="shared" si="41"/>
        <v>58.2</v>
      </c>
    </row>
    <row r="852" s="1" customFormat="1" spans="1:6">
      <c r="A852" s="8" t="str">
        <f>"2020892910"</f>
        <v>2020892910</v>
      </c>
      <c r="B852" s="9">
        <v>56</v>
      </c>
      <c r="C852" s="9">
        <f t="shared" si="39"/>
        <v>16.8</v>
      </c>
      <c r="D852" s="10">
        <v>63</v>
      </c>
      <c r="E852" s="9">
        <f t="shared" si="40"/>
        <v>44.1</v>
      </c>
      <c r="F852" s="9">
        <f t="shared" si="41"/>
        <v>60.9</v>
      </c>
    </row>
    <row r="853" s="1" customFormat="1" spans="1:6">
      <c r="A853" s="8" t="str">
        <f>"2020892911"</f>
        <v>2020892911</v>
      </c>
      <c r="B853" s="9">
        <v>71</v>
      </c>
      <c r="C853" s="9">
        <f t="shared" si="39"/>
        <v>21.3</v>
      </c>
      <c r="D853" s="10">
        <v>44</v>
      </c>
      <c r="E853" s="9">
        <f t="shared" si="40"/>
        <v>30.8</v>
      </c>
      <c r="F853" s="9">
        <f t="shared" si="41"/>
        <v>52.1</v>
      </c>
    </row>
    <row r="854" s="1" customFormat="1" spans="1:6">
      <c r="A854" s="8" t="str">
        <f>"2020892912"</f>
        <v>2020892912</v>
      </c>
      <c r="B854" s="9">
        <v>0</v>
      </c>
      <c r="C854" s="9">
        <f t="shared" si="39"/>
        <v>0</v>
      </c>
      <c r="D854" s="10">
        <v>0</v>
      </c>
      <c r="E854" s="9">
        <f t="shared" si="40"/>
        <v>0</v>
      </c>
      <c r="F854" s="9">
        <f t="shared" si="41"/>
        <v>0</v>
      </c>
    </row>
    <row r="855" s="1" customFormat="1" spans="1:6">
      <c r="A855" s="8" t="str">
        <f>"2020892913"</f>
        <v>2020892913</v>
      </c>
      <c r="B855" s="9">
        <v>69</v>
      </c>
      <c r="C855" s="9">
        <f t="shared" si="39"/>
        <v>20.7</v>
      </c>
      <c r="D855" s="10">
        <v>89</v>
      </c>
      <c r="E855" s="9">
        <f t="shared" si="40"/>
        <v>62.3</v>
      </c>
      <c r="F855" s="9">
        <f t="shared" si="41"/>
        <v>83</v>
      </c>
    </row>
    <row r="856" s="1" customFormat="1" spans="1:6">
      <c r="A856" s="8" t="str">
        <f>"2020892914"</f>
        <v>2020892914</v>
      </c>
      <c r="B856" s="9">
        <v>59</v>
      </c>
      <c r="C856" s="9">
        <f t="shared" si="39"/>
        <v>17.7</v>
      </c>
      <c r="D856" s="10">
        <v>75</v>
      </c>
      <c r="E856" s="9">
        <f t="shared" si="40"/>
        <v>52.5</v>
      </c>
      <c r="F856" s="9">
        <f t="shared" si="41"/>
        <v>70.2</v>
      </c>
    </row>
    <row r="857" s="1" customFormat="1" spans="1:6">
      <c r="A857" s="8" t="str">
        <f>"2020892915"</f>
        <v>2020892915</v>
      </c>
      <c r="B857" s="9">
        <v>66</v>
      </c>
      <c r="C857" s="9">
        <f t="shared" si="39"/>
        <v>19.8</v>
      </c>
      <c r="D857" s="10">
        <v>74</v>
      </c>
      <c r="E857" s="9">
        <f t="shared" si="40"/>
        <v>51.8</v>
      </c>
      <c r="F857" s="9">
        <f t="shared" si="41"/>
        <v>71.6</v>
      </c>
    </row>
    <row r="858" s="1" customFormat="1" spans="1:6">
      <c r="A858" s="8" t="str">
        <f>"2020892916"</f>
        <v>2020892916</v>
      </c>
      <c r="B858" s="9">
        <v>53</v>
      </c>
      <c r="C858" s="9">
        <f t="shared" si="39"/>
        <v>15.9</v>
      </c>
      <c r="D858" s="10">
        <v>52</v>
      </c>
      <c r="E858" s="9">
        <f t="shared" si="40"/>
        <v>36.4</v>
      </c>
      <c r="F858" s="9">
        <f t="shared" si="41"/>
        <v>52.3</v>
      </c>
    </row>
    <row r="859" s="1" customFormat="1" spans="1:6">
      <c r="A859" s="8" t="str">
        <f>"2020892917"</f>
        <v>2020892917</v>
      </c>
      <c r="B859" s="9">
        <v>55</v>
      </c>
      <c r="C859" s="9">
        <f t="shared" si="39"/>
        <v>16.5</v>
      </c>
      <c r="D859" s="10">
        <v>53</v>
      </c>
      <c r="E859" s="9">
        <f t="shared" si="40"/>
        <v>37.1</v>
      </c>
      <c r="F859" s="9">
        <f t="shared" si="41"/>
        <v>53.6</v>
      </c>
    </row>
    <row r="860" s="1" customFormat="1" spans="1:6">
      <c r="A860" s="8" t="str">
        <f>"2020892918"</f>
        <v>2020892918</v>
      </c>
      <c r="B860" s="9">
        <v>74</v>
      </c>
      <c r="C860" s="9">
        <f t="shared" si="39"/>
        <v>22.2</v>
      </c>
      <c r="D860" s="10">
        <v>53</v>
      </c>
      <c r="E860" s="9">
        <f t="shared" si="40"/>
        <v>37.1</v>
      </c>
      <c r="F860" s="9">
        <f t="shared" si="41"/>
        <v>59.3</v>
      </c>
    </row>
    <row r="861" s="1" customFormat="1" spans="1:6">
      <c r="A861" s="8" t="str">
        <f>"2020892919"</f>
        <v>2020892919</v>
      </c>
      <c r="B861" s="9">
        <v>69</v>
      </c>
      <c r="C861" s="9">
        <f t="shared" si="39"/>
        <v>20.7</v>
      </c>
      <c r="D861" s="10">
        <v>66</v>
      </c>
      <c r="E861" s="9">
        <f t="shared" si="40"/>
        <v>46.2</v>
      </c>
      <c r="F861" s="9">
        <f t="shared" si="41"/>
        <v>66.9</v>
      </c>
    </row>
    <row r="862" s="1" customFormat="1" spans="1:6">
      <c r="A862" s="8" t="str">
        <f>"2020892920"</f>
        <v>2020892920</v>
      </c>
      <c r="B862" s="9">
        <v>61</v>
      </c>
      <c r="C862" s="9">
        <f t="shared" si="39"/>
        <v>18.3</v>
      </c>
      <c r="D862" s="10">
        <v>78</v>
      </c>
      <c r="E862" s="9">
        <f t="shared" si="40"/>
        <v>54.6</v>
      </c>
      <c r="F862" s="9">
        <f t="shared" si="41"/>
        <v>72.9</v>
      </c>
    </row>
    <row r="863" s="1" customFormat="1" spans="1:6">
      <c r="A863" s="8" t="str">
        <f>"2020892921"</f>
        <v>2020892921</v>
      </c>
      <c r="B863" s="9">
        <v>63</v>
      </c>
      <c r="C863" s="9">
        <f t="shared" si="39"/>
        <v>18.9</v>
      </c>
      <c r="D863" s="10">
        <v>79</v>
      </c>
      <c r="E863" s="9">
        <f t="shared" si="40"/>
        <v>55.3</v>
      </c>
      <c r="F863" s="9">
        <f t="shared" si="41"/>
        <v>74.2</v>
      </c>
    </row>
    <row r="864" s="1" customFormat="1" spans="1:6">
      <c r="A864" s="8" t="str">
        <f>"2020892922"</f>
        <v>2020892922</v>
      </c>
      <c r="B864" s="9">
        <v>0</v>
      </c>
      <c r="C864" s="9">
        <f t="shared" si="39"/>
        <v>0</v>
      </c>
      <c r="D864" s="10">
        <v>0</v>
      </c>
      <c r="E864" s="9">
        <f t="shared" si="40"/>
        <v>0</v>
      </c>
      <c r="F864" s="9">
        <f t="shared" si="41"/>
        <v>0</v>
      </c>
    </row>
    <row r="865" s="1" customFormat="1" spans="1:6">
      <c r="A865" s="8" t="str">
        <f>"2020892923"</f>
        <v>2020892923</v>
      </c>
      <c r="B865" s="9">
        <v>57</v>
      </c>
      <c r="C865" s="9">
        <f t="shared" si="39"/>
        <v>17.1</v>
      </c>
      <c r="D865" s="10">
        <v>78</v>
      </c>
      <c r="E865" s="9">
        <f t="shared" si="40"/>
        <v>54.6</v>
      </c>
      <c r="F865" s="9">
        <f t="shared" si="41"/>
        <v>71.7</v>
      </c>
    </row>
    <row r="866" s="1" customFormat="1" spans="1:6">
      <c r="A866" s="8" t="str">
        <f>"2020892924"</f>
        <v>2020892924</v>
      </c>
      <c r="B866" s="9">
        <v>56</v>
      </c>
      <c r="C866" s="9">
        <f t="shared" si="39"/>
        <v>16.8</v>
      </c>
      <c r="D866" s="10">
        <v>83</v>
      </c>
      <c r="E866" s="9">
        <f t="shared" si="40"/>
        <v>58.1</v>
      </c>
      <c r="F866" s="9">
        <f t="shared" si="41"/>
        <v>74.9</v>
      </c>
    </row>
    <row r="867" s="1" customFormat="1" spans="1:6">
      <c r="A867" s="8" t="str">
        <f>"2020892925"</f>
        <v>2020892925</v>
      </c>
      <c r="B867" s="9">
        <v>0</v>
      </c>
      <c r="C867" s="9">
        <f t="shared" si="39"/>
        <v>0</v>
      </c>
      <c r="D867" s="10">
        <v>0</v>
      </c>
      <c r="E867" s="9">
        <f t="shared" si="40"/>
        <v>0</v>
      </c>
      <c r="F867" s="9">
        <f t="shared" si="41"/>
        <v>0</v>
      </c>
    </row>
    <row r="868" s="1" customFormat="1" spans="1:6">
      <c r="A868" s="8" t="str">
        <f>"2020892926"</f>
        <v>2020892926</v>
      </c>
      <c r="B868" s="9">
        <v>71</v>
      </c>
      <c r="C868" s="9">
        <f t="shared" si="39"/>
        <v>21.3</v>
      </c>
      <c r="D868" s="10">
        <v>83</v>
      </c>
      <c r="E868" s="9">
        <f t="shared" si="40"/>
        <v>58.1</v>
      </c>
      <c r="F868" s="9">
        <f t="shared" si="41"/>
        <v>79.4</v>
      </c>
    </row>
    <row r="869" s="1" customFormat="1" spans="1:6">
      <c r="A869" s="8" t="str">
        <f>"2020892927"</f>
        <v>2020892927</v>
      </c>
      <c r="B869" s="9">
        <v>73</v>
      </c>
      <c r="C869" s="9">
        <f t="shared" si="39"/>
        <v>21.9</v>
      </c>
      <c r="D869" s="10">
        <v>92</v>
      </c>
      <c r="E869" s="9">
        <f t="shared" si="40"/>
        <v>64.4</v>
      </c>
      <c r="F869" s="9">
        <f t="shared" si="41"/>
        <v>86.3</v>
      </c>
    </row>
    <row r="870" s="1" customFormat="1" spans="1:6">
      <c r="A870" s="8" t="str">
        <f>"2020892928"</f>
        <v>2020892928</v>
      </c>
      <c r="B870" s="9">
        <v>55</v>
      </c>
      <c r="C870" s="9">
        <f t="shared" si="39"/>
        <v>16.5</v>
      </c>
      <c r="D870" s="10">
        <v>73</v>
      </c>
      <c r="E870" s="9">
        <f t="shared" si="40"/>
        <v>51.1</v>
      </c>
      <c r="F870" s="9">
        <f t="shared" si="41"/>
        <v>67.6</v>
      </c>
    </row>
    <row r="871" s="1" customFormat="1" spans="1:6">
      <c r="A871" s="8" t="str">
        <f>"2020892929"</f>
        <v>2020892929</v>
      </c>
      <c r="B871" s="9">
        <v>69</v>
      </c>
      <c r="C871" s="9">
        <f t="shared" si="39"/>
        <v>20.7</v>
      </c>
      <c r="D871" s="10">
        <v>81</v>
      </c>
      <c r="E871" s="9">
        <f t="shared" si="40"/>
        <v>56.7</v>
      </c>
      <c r="F871" s="9">
        <f t="shared" si="41"/>
        <v>77.4</v>
      </c>
    </row>
    <row r="872" s="1" customFormat="1" spans="1:6">
      <c r="A872" s="8" t="str">
        <f>"2020892930"</f>
        <v>2020892930</v>
      </c>
      <c r="B872" s="9">
        <v>70</v>
      </c>
      <c r="C872" s="9">
        <f t="shared" si="39"/>
        <v>21</v>
      </c>
      <c r="D872" s="10">
        <v>77</v>
      </c>
      <c r="E872" s="9">
        <f t="shared" si="40"/>
        <v>53.9</v>
      </c>
      <c r="F872" s="9">
        <f t="shared" si="41"/>
        <v>74.9</v>
      </c>
    </row>
    <row r="873" s="1" customFormat="1" spans="1:6">
      <c r="A873" s="8" t="str">
        <f>"2020893001"</f>
        <v>2020893001</v>
      </c>
      <c r="B873" s="9">
        <v>65</v>
      </c>
      <c r="C873" s="9">
        <f t="shared" si="39"/>
        <v>19.5</v>
      </c>
      <c r="D873" s="10">
        <v>83</v>
      </c>
      <c r="E873" s="9">
        <f t="shared" si="40"/>
        <v>58.1</v>
      </c>
      <c r="F873" s="9">
        <f t="shared" si="41"/>
        <v>77.6</v>
      </c>
    </row>
    <row r="874" s="1" customFormat="1" spans="1:6">
      <c r="A874" s="8" t="str">
        <f>"2020893002"</f>
        <v>2020893002</v>
      </c>
      <c r="B874" s="9">
        <v>0</v>
      </c>
      <c r="C874" s="9">
        <f t="shared" si="39"/>
        <v>0</v>
      </c>
      <c r="D874" s="10">
        <v>0</v>
      </c>
      <c r="E874" s="9">
        <f t="shared" si="40"/>
        <v>0</v>
      </c>
      <c r="F874" s="9">
        <f t="shared" si="41"/>
        <v>0</v>
      </c>
    </row>
    <row r="875" s="1" customFormat="1" spans="1:6">
      <c r="A875" s="8" t="str">
        <f>"2020893003"</f>
        <v>2020893003</v>
      </c>
      <c r="B875" s="9">
        <v>63</v>
      </c>
      <c r="C875" s="9">
        <f t="shared" si="39"/>
        <v>18.9</v>
      </c>
      <c r="D875" s="10">
        <v>79</v>
      </c>
      <c r="E875" s="9">
        <f t="shared" si="40"/>
        <v>55.3</v>
      </c>
      <c r="F875" s="9">
        <f t="shared" si="41"/>
        <v>74.2</v>
      </c>
    </row>
    <row r="876" s="1" customFormat="1" spans="1:6">
      <c r="A876" s="8" t="str">
        <f>"2020893004"</f>
        <v>2020893004</v>
      </c>
      <c r="B876" s="9">
        <v>52</v>
      </c>
      <c r="C876" s="9">
        <f t="shared" si="39"/>
        <v>15.6</v>
      </c>
      <c r="D876" s="10">
        <v>87</v>
      </c>
      <c r="E876" s="9">
        <f t="shared" si="40"/>
        <v>60.9</v>
      </c>
      <c r="F876" s="9">
        <f t="shared" si="41"/>
        <v>76.5</v>
      </c>
    </row>
    <row r="877" s="1" customFormat="1" spans="1:6">
      <c r="A877" s="8" t="str">
        <f>"2020893005"</f>
        <v>2020893005</v>
      </c>
      <c r="B877" s="9">
        <v>65</v>
      </c>
      <c r="C877" s="9">
        <f t="shared" si="39"/>
        <v>19.5</v>
      </c>
      <c r="D877" s="10">
        <v>88</v>
      </c>
      <c r="E877" s="9">
        <f t="shared" si="40"/>
        <v>61.6</v>
      </c>
      <c r="F877" s="9">
        <f t="shared" si="41"/>
        <v>81.1</v>
      </c>
    </row>
    <row r="878" s="1" customFormat="1" spans="1:6">
      <c r="A878" s="8" t="str">
        <f>"2020893006"</f>
        <v>2020893006</v>
      </c>
      <c r="B878" s="9">
        <v>71</v>
      </c>
      <c r="C878" s="9">
        <f t="shared" si="39"/>
        <v>21.3</v>
      </c>
      <c r="D878" s="10">
        <v>91</v>
      </c>
      <c r="E878" s="9">
        <f t="shared" si="40"/>
        <v>63.7</v>
      </c>
      <c r="F878" s="9">
        <f t="shared" si="41"/>
        <v>85</v>
      </c>
    </row>
    <row r="879" s="1" customFormat="1" spans="1:6">
      <c r="A879" s="8" t="str">
        <f>"2020893007"</f>
        <v>2020893007</v>
      </c>
      <c r="B879" s="9">
        <v>74</v>
      </c>
      <c r="C879" s="9">
        <f t="shared" si="39"/>
        <v>22.2</v>
      </c>
      <c r="D879" s="10">
        <v>72</v>
      </c>
      <c r="E879" s="9">
        <f t="shared" si="40"/>
        <v>50.4</v>
      </c>
      <c r="F879" s="9">
        <f t="shared" si="41"/>
        <v>72.6</v>
      </c>
    </row>
    <row r="880" s="1" customFormat="1" spans="1:6">
      <c r="A880" s="8" t="str">
        <f>"2020893008"</f>
        <v>2020893008</v>
      </c>
      <c r="B880" s="9">
        <v>69</v>
      </c>
      <c r="C880" s="9">
        <f t="shared" si="39"/>
        <v>20.7</v>
      </c>
      <c r="D880" s="10">
        <v>86</v>
      </c>
      <c r="E880" s="9">
        <f t="shared" si="40"/>
        <v>60.2</v>
      </c>
      <c r="F880" s="9">
        <f t="shared" si="41"/>
        <v>80.9</v>
      </c>
    </row>
    <row r="881" s="1" customFormat="1" spans="1:6">
      <c r="A881" s="8" t="str">
        <f>"2020893009"</f>
        <v>2020893009</v>
      </c>
      <c r="B881" s="9">
        <v>56</v>
      </c>
      <c r="C881" s="9">
        <f t="shared" si="39"/>
        <v>16.8</v>
      </c>
      <c r="D881" s="10">
        <v>79</v>
      </c>
      <c r="E881" s="9">
        <f t="shared" si="40"/>
        <v>55.3</v>
      </c>
      <c r="F881" s="9">
        <f t="shared" si="41"/>
        <v>72.1</v>
      </c>
    </row>
    <row r="882" s="1" customFormat="1" spans="1:6">
      <c r="A882" s="8" t="str">
        <f>"2020893010"</f>
        <v>2020893010</v>
      </c>
      <c r="B882" s="9">
        <v>64</v>
      </c>
      <c r="C882" s="9">
        <f t="shared" si="39"/>
        <v>19.2</v>
      </c>
      <c r="D882" s="10">
        <v>63</v>
      </c>
      <c r="E882" s="9">
        <f t="shared" si="40"/>
        <v>44.1</v>
      </c>
      <c r="F882" s="9">
        <f t="shared" si="41"/>
        <v>63.3</v>
      </c>
    </row>
    <row r="883" s="1" customFormat="1" spans="1:6">
      <c r="A883" s="8" t="str">
        <f>"2020893011"</f>
        <v>2020893011</v>
      </c>
      <c r="B883" s="9">
        <v>69</v>
      </c>
      <c r="C883" s="9">
        <f t="shared" si="39"/>
        <v>20.7</v>
      </c>
      <c r="D883" s="10">
        <v>80</v>
      </c>
      <c r="E883" s="9">
        <f t="shared" si="40"/>
        <v>56</v>
      </c>
      <c r="F883" s="9">
        <f t="shared" si="41"/>
        <v>76.7</v>
      </c>
    </row>
    <row r="884" s="1" customFormat="1" spans="1:6">
      <c r="A884" s="8" t="str">
        <f>"2020893012"</f>
        <v>2020893012</v>
      </c>
      <c r="B884" s="9">
        <v>0</v>
      </c>
      <c r="C884" s="9">
        <f t="shared" si="39"/>
        <v>0</v>
      </c>
      <c r="D884" s="10">
        <v>0</v>
      </c>
      <c r="E884" s="9">
        <f t="shared" si="40"/>
        <v>0</v>
      </c>
      <c r="F884" s="9">
        <f t="shared" si="41"/>
        <v>0</v>
      </c>
    </row>
    <row r="885" s="1" customFormat="1" spans="1:6">
      <c r="A885" s="8" t="str">
        <f>"2020893013"</f>
        <v>2020893013</v>
      </c>
      <c r="B885" s="9">
        <v>67</v>
      </c>
      <c r="C885" s="9">
        <f t="shared" si="39"/>
        <v>20.1</v>
      </c>
      <c r="D885" s="10">
        <v>69</v>
      </c>
      <c r="E885" s="9">
        <f t="shared" si="40"/>
        <v>48.3</v>
      </c>
      <c r="F885" s="9">
        <f t="shared" si="41"/>
        <v>68.4</v>
      </c>
    </row>
    <row r="886" s="1" customFormat="1" spans="1:6">
      <c r="A886" s="8" t="str">
        <f>"2020893014"</f>
        <v>2020893014</v>
      </c>
      <c r="B886" s="9">
        <v>76</v>
      </c>
      <c r="C886" s="9">
        <f t="shared" si="39"/>
        <v>22.8</v>
      </c>
      <c r="D886" s="10">
        <v>77</v>
      </c>
      <c r="E886" s="9">
        <f t="shared" si="40"/>
        <v>53.9</v>
      </c>
      <c r="F886" s="9">
        <f t="shared" si="41"/>
        <v>76.7</v>
      </c>
    </row>
    <row r="887" s="1" customFormat="1" spans="1:6">
      <c r="A887" s="8" t="str">
        <f>"2020893015"</f>
        <v>2020893015</v>
      </c>
      <c r="B887" s="9">
        <v>59</v>
      </c>
      <c r="C887" s="9">
        <f t="shared" si="39"/>
        <v>17.7</v>
      </c>
      <c r="D887" s="10">
        <v>82</v>
      </c>
      <c r="E887" s="9">
        <f t="shared" si="40"/>
        <v>57.4</v>
      </c>
      <c r="F887" s="9">
        <f t="shared" si="41"/>
        <v>75.1</v>
      </c>
    </row>
    <row r="888" s="1" customFormat="1" spans="1:6">
      <c r="A888" s="8" t="str">
        <f>"2020893016"</f>
        <v>2020893016</v>
      </c>
      <c r="B888" s="9">
        <v>0</v>
      </c>
      <c r="C888" s="9">
        <f t="shared" si="39"/>
        <v>0</v>
      </c>
      <c r="D888" s="10">
        <v>0</v>
      </c>
      <c r="E888" s="9">
        <f t="shared" si="40"/>
        <v>0</v>
      </c>
      <c r="F888" s="9">
        <f t="shared" si="41"/>
        <v>0</v>
      </c>
    </row>
    <row r="889" s="1" customFormat="1" spans="1:6">
      <c r="A889" s="8" t="str">
        <f>"2020893017"</f>
        <v>2020893017</v>
      </c>
      <c r="B889" s="9">
        <v>52</v>
      </c>
      <c r="C889" s="9">
        <f t="shared" si="39"/>
        <v>15.6</v>
      </c>
      <c r="D889" s="10">
        <v>72</v>
      </c>
      <c r="E889" s="9">
        <f t="shared" si="40"/>
        <v>50.4</v>
      </c>
      <c r="F889" s="9">
        <f t="shared" si="41"/>
        <v>66</v>
      </c>
    </row>
    <row r="890" s="1" customFormat="1" spans="1:6">
      <c r="A890" s="8" t="str">
        <f>"2020893018"</f>
        <v>2020893018</v>
      </c>
      <c r="B890" s="9">
        <v>83</v>
      </c>
      <c r="C890" s="9">
        <f t="shared" si="39"/>
        <v>24.9</v>
      </c>
      <c r="D890" s="10">
        <v>85</v>
      </c>
      <c r="E890" s="9">
        <f t="shared" si="40"/>
        <v>59.5</v>
      </c>
      <c r="F890" s="9">
        <f t="shared" si="41"/>
        <v>84.4</v>
      </c>
    </row>
    <row r="891" s="1" customFormat="1" spans="1:6">
      <c r="A891" s="8" t="str">
        <f>"2020893019"</f>
        <v>2020893019</v>
      </c>
      <c r="B891" s="9">
        <v>64</v>
      </c>
      <c r="C891" s="9">
        <f t="shared" si="39"/>
        <v>19.2</v>
      </c>
      <c r="D891" s="10">
        <v>86</v>
      </c>
      <c r="E891" s="9">
        <f t="shared" si="40"/>
        <v>60.2</v>
      </c>
      <c r="F891" s="9">
        <f t="shared" si="41"/>
        <v>79.4</v>
      </c>
    </row>
    <row r="892" s="1" customFormat="1" spans="1:6">
      <c r="A892" s="8" t="str">
        <f>"2020893020"</f>
        <v>2020893020</v>
      </c>
      <c r="B892" s="9">
        <v>74</v>
      </c>
      <c r="C892" s="9">
        <f t="shared" si="39"/>
        <v>22.2</v>
      </c>
      <c r="D892" s="10">
        <v>62</v>
      </c>
      <c r="E892" s="9">
        <f t="shared" si="40"/>
        <v>43.4</v>
      </c>
      <c r="F892" s="9">
        <f t="shared" si="41"/>
        <v>65.6</v>
      </c>
    </row>
    <row r="893" s="1" customFormat="1" spans="1:6">
      <c r="A893" s="8" t="str">
        <f>"2020893021"</f>
        <v>2020893021</v>
      </c>
      <c r="B893" s="9">
        <v>60</v>
      </c>
      <c r="C893" s="9">
        <f t="shared" si="39"/>
        <v>18</v>
      </c>
      <c r="D893" s="10">
        <v>61</v>
      </c>
      <c r="E893" s="9">
        <f t="shared" si="40"/>
        <v>42.7</v>
      </c>
      <c r="F893" s="9">
        <f t="shared" si="41"/>
        <v>60.7</v>
      </c>
    </row>
    <row r="894" s="1" customFormat="1" spans="1:6">
      <c r="A894" s="8" t="str">
        <f>"2020893022"</f>
        <v>2020893022</v>
      </c>
      <c r="B894" s="9">
        <v>60</v>
      </c>
      <c r="C894" s="9">
        <f t="shared" si="39"/>
        <v>18</v>
      </c>
      <c r="D894" s="10">
        <v>69</v>
      </c>
      <c r="E894" s="9">
        <f t="shared" si="40"/>
        <v>48.3</v>
      </c>
      <c r="F894" s="9">
        <f t="shared" si="41"/>
        <v>66.3</v>
      </c>
    </row>
    <row r="895" s="1" customFormat="1" spans="1:6">
      <c r="A895" s="8" t="str">
        <f>"2020893023"</f>
        <v>2020893023</v>
      </c>
      <c r="B895" s="9">
        <v>51</v>
      </c>
      <c r="C895" s="9">
        <f t="shared" si="39"/>
        <v>15.3</v>
      </c>
      <c r="D895" s="10">
        <v>88</v>
      </c>
      <c r="E895" s="9">
        <f t="shared" si="40"/>
        <v>61.6</v>
      </c>
      <c r="F895" s="9">
        <f t="shared" si="41"/>
        <v>76.9</v>
      </c>
    </row>
    <row r="896" s="1" customFormat="1" spans="1:6">
      <c r="A896" s="8" t="str">
        <f>"2020893024"</f>
        <v>2020893024</v>
      </c>
      <c r="B896" s="9">
        <v>64</v>
      </c>
      <c r="C896" s="9">
        <f t="shared" si="39"/>
        <v>19.2</v>
      </c>
      <c r="D896" s="10">
        <v>82</v>
      </c>
      <c r="E896" s="9">
        <f t="shared" si="40"/>
        <v>57.4</v>
      </c>
      <c r="F896" s="9">
        <f t="shared" si="41"/>
        <v>76.6</v>
      </c>
    </row>
    <row r="897" s="1" customFormat="1" spans="1:6">
      <c r="A897" s="8" t="str">
        <f>"2020893025"</f>
        <v>2020893025</v>
      </c>
      <c r="B897" s="9">
        <v>0</v>
      </c>
      <c r="C897" s="9">
        <f t="shared" si="39"/>
        <v>0</v>
      </c>
      <c r="D897" s="10">
        <v>0</v>
      </c>
      <c r="E897" s="9">
        <f t="shared" si="40"/>
        <v>0</v>
      </c>
      <c r="F897" s="9">
        <f t="shared" si="41"/>
        <v>0</v>
      </c>
    </row>
    <row r="898" s="1" customFormat="1" spans="1:6">
      <c r="A898" s="8" t="str">
        <f>"2020893026"</f>
        <v>2020893026</v>
      </c>
      <c r="B898" s="9">
        <v>74</v>
      </c>
      <c r="C898" s="9">
        <f t="shared" si="39"/>
        <v>22.2</v>
      </c>
      <c r="D898" s="10">
        <v>84</v>
      </c>
      <c r="E898" s="9">
        <f t="shared" si="40"/>
        <v>58.8</v>
      </c>
      <c r="F898" s="9">
        <f t="shared" si="41"/>
        <v>81</v>
      </c>
    </row>
    <row r="899" s="1" customFormat="1" spans="1:6">
      <c r="A899" s="8" t="str">
        <f>"2020893027"</f>
        <v>2020893027</v>
      </c>
      <c r="B899" s="9">
        <v>55</v>
      </c>
      <c r="C899" s="9">
        <f t="shared" ref="C899:C962" si="42">B899*0.3</f>
        <v>16.5</v>
      </c>
      <c r="D899" s="10">
        <v>70</v>
      </c>
      <c r="E899" s="9">
        <f t="shared" ref="E899:E962" si="43">D899*0.7</f>
        <v>49</v>
      </c>
      <c r="F899" s="9">
        <f t="shared" ref="F899:F962" si="44">C899+E899</f>
        <v>65.5</v>
      </c>
    </row>
    <row r="900" s="1" customFormat="1" spans="1:6">
      <c r="A900" s="8" t="str">
        <f>"2020893028"</f>
        <v>2020893028</v>
      </c>
      <c r="B900" s="9">
        <v>0</v>
      </c>
      <c r="C900" s="9">
        <f t="shared" si="42"/>
        <v>0</v>
      </c>
      <c r="D900" s="10">
        <v>0</v>
      </c>
      <c r="E900" s="9">
        <f t="shared" si="43"/>
        <v>0</v>
      </c>
      <c r="F900" s="9">
        <f t="shared" si="44"/>
        <v>0</v>
      </c>
    </row>
    <row r="901" s="1" customFormat="1" spans="1:6">
      <c r="A901" s="8" t="str">
        <f>"2020893029"</f>
        <v>2020893029</v>
      </c>
      <c r="B901" s="9">
        <v>0</v>
      </c>
      <c r="C901" s="9">
        <f t="shared" si="42"/>
        <v>0</v>
      </c>
      <c r="D901" s="10">
        <v>0</v>
      </c>
      <c r="E901" s="9">
        <f t="shared" si="43"/>
        <v>0</v>
      </c>
      <c r="F901" s="9">
        <f t="shared" si="44"/>
        <v>0</v>
      </c>
    </row>
    <row r="902" s="1" customFormat="1" spans="1:6">
      <c r="A902" s="8" t="str">
        <f>"2020893030"</f>
        <v>2020893030</v>
      </c>
      <c r="B902" s="9">
        <v>64</v>
      </c>
      <c r="C902" s="9">
        <f t="shared" si="42"/>
        <v>19.2</v>
      </c>
      <c r="D902" s="10">
        <v>65</v>
      </c>
      <c r="E902" s="9">
        <f t="shared" si="43"/>
        <v>45.5</v>
      </c>
      <c r="F902" s="9">
        <f t="shared" si="44"/>
        <v>64.7</v>
      </c>
    </row>
    <row r="903" s="1" customFormat="1" spans="1:6">
      <c r="A903" s="8" t="str">
        <f>"2020893101"</f>
        <v>2020893101</v>
      </c>
      <c r="B903" s="9">
        <v>72</v>
      </c>
      <c r="C903" s="9">
        <f t="shared" si="42"/>
        <v>21.6</v>
      </c>
      <c r="D903" s="10">
        <v>82</v>
      </c>
      <c r="E903" s="9">
        <f t="shared" si="43"/>
        <v>57.4</v>
      </c>
      <c r="F903" s="9">
        <f t="shared" si="44"/>
        <v>79</v>
      </c>
    </row>
    <row r="904" s="1" customFormat="1" spans="1:6">
      <c r="A904" s="8" t="str">
        <f>"2020893102"</f>
        <v>2020893102</v>
      </c>
      <c r="B904" s="9">
        <v>63</v>
      </c>
      <c r="C904" s="9">
        <f t="shared" si="42"/>
        <v>18.9</v>
      </c>
      <c r="D904" s="10">
        <v>83</v>
      </c>
      <c r="E904" s="9">
        <f t="shared" si="43"/>
        <v>58.1</v>
      </c>
      <c r="F904" s="9">
        <f t="shared" si="44"/>
        <v>77</v>
      </c>
    </row>
    <row r="905" s="1" customFormat="1" spans="1:6">
      <c r="A905" s="8" t="str">
        <f>"2020893103"</f>
        <v>2020893103</v>
      </c>
      <c r="B905" s="9">
        <v>76</v>
      </c>
      <c r="C905" s="9">
        <f t="shared" si="42"/>
        <v>22.8</v>
      </c>
      <c r="D905" s="10">
        <v>69</v>
      </c>
      <c r="E905" s="9">
        <f t="shared" si="43"/>
        <v>48.3</v>
      </c>
      <c r="F905" s="9">
        <f t="shared" si="44"/>
        <v>71.1</v>
      </c>
    </row>
    <row r="906" s="1" customFormat="1" spans="1:6">
      <c r="A906" s="8" t="str">
        <f>"2020893104"</f>
        <v>2020893104</v>
      </c>
      <c r="B906" s="9">
        <v>0</v>
      </c>
      <c r="C906" s="9">
        <f t="shared" si="42"/>
        <v>0</v>
      </c>
      <c r="D906" s="10">
        <v>0</v>
      </c>
      <c r="E906" s="9">
        <f t="shared" si="43"/>
        <v>0</v>
      </c>
      <c r="F906" s="9">
        <f t="shared" si="44"/>
        <v>0</v>
      </c>
    </row>
    <row r="907" s="1" customFormat="1" spans="1:6">
      <c r="A907" s="8" t="str">
        <f>"2020893105"</f>
        <v>2020893105</v>
      </c>
      <c r="B907" s="9">
        <v>0</v>
      </c>
      <c r="C907" s="9">
        <f t="shared" si="42"/>
        <v>0</v>
      </c>
      <c r="D907" s="10">
        <v>0</v>
      </c>
      <c r="E907" s="9">
        <f t="shared" si="43"/>
        <v>0</v>
      </c>
      <c r="F907" s="9">
        <f t="shared" si="44"/>
        <v>0</v>
      </c>
    </row>
    <row r="908" s="1" customFormat="1" spans="1:6">
      <c r="A908" s="8" t="str">
        <f>"2020893106"</f>
        <v>2020893106</v>
      </c>
      <c r="B908" s="9">
        <v>62</v>
      </c>
      <c r="C908" s="9">
        <f t="shared" si="42"/>
        <v>18.6</v>
      </c>
      <c r="D908" s="10">
        <v>92</v>
      </c>
      <c r="E908" s="9">
        <f t="shared" si="43"/>
        <v>64.4</v>
      </c>
      <c r="F908" s="9">
        <f t="shared" si="44"/>
        <v>83</v>
      </c>
    </row>
    <row r="909" s="1" customFormat="1" spans="1:6">
      <c r="A909" s="8" t="str">
        <f>"2020893107"</f>
        <v>2020893107</v>
      </c>
      <c r="B909" s="9">
        <v>72</v>
      </c>
      <c r="C909" s="9">
        <f t="shared" si="42"/>
        <v>21.6</v>
      </c>
      <c r="D909" s="10">
        <v>86</v>
      </c>
      <c r="E909" s="9">
        <f t="shared" si="43"/>
        <v>60.2</v>
      </c>
      <c r="F909" s="9">
        <f t="shared" si="44"/>
        <v>81.8</v>
      </c>
    </row>
    <row r="910" s="1" customFormat="1" spans="1:6">
      <c r="A910" s="8" t="str">
        <f>"2020893108"</f>
        <v>2020893108</v>
      </c>
      <c r="B910" s="9">
        <v>72</v>
      </c>
      <c r="C910" s="9">
        <f t="shared" si="42"/>
        <v>21.6</v>
      </c>
      <c r="D910" s="10">
        <v>87</v>
      </c>
      <c r="E910" s="9">
        <f t="shared" si="43"/>
        <v>60.9</v>
      </c>
      <c r="F910" s="9">
        <f t="shared" si="44"/>
        <v>82.5</v>
      </c>
    </row>
    <row r="911" s="1" customFormat="1" spans="1:6">
      <c r="A911" s="8" t="str">
        <f>"2020893109"</f>
        <v>2020893109</v>
      </c>
      <c r="B911" s="9">
        <v>61</v>
      </c>
      <c r="C911" s="9">
        <f t="shared" si="42"/>
        <v>18.3</v>
      </c>
      <c r="D911" s="10">
        <v>58</v>
      </c>
      <c r="E911" s="9">
        <f t="shared" si="43"/>
        <v>40.6</v>
      </c>
      <c r="F911" s="9">
        <f t="shared" si="44"/>
        <v>58.9</v>
      </c>
    </row>
    <row r="912" s="1" customFormat="1" spans="1:6">
      <c r="A912" s="8" t="str">
        <f>"2020893110"</f>
        <v>2020893110</v>
      </c>
      <c r="B912" s="9">
        <v>74</v>
      </c>
      <c r="C912" s="9">
        <f t="shared" si="42"/>
        <v>22.2</v>
      </c>
      <c r="D912" s="10">
        <v>79</v>
      </c>
      <c r="E912" s="9">
        <f t="shared" si="43"/>
        <v>55.3</v>
      </c>
      <c r="F912" s="9">
        <f t="shared" si="44"/>
        <v>77.5</v>
      </c>
    </row>
    <row r="913" s="1" customFormat="1" spans="1:6">
      <c r="A913" s="8" t="str">
        <f>"2020893111"</f>
        <v>2020893111</v>
      </c>
      <c r="B913" s="9">
        <v>60</v>
      </c>
      <c r="C913" s="9">
        <f t="shared" si="42"/>
        <v>18</v>
      </c>
      <c r="D913" s="10">
        <v>85</v>
      </c>
      <c r="E913" s="9">
        <f t="shared" si="43"/>
        <v>59.5</v>
      </c>
      <c r="F913" s="9">
        <f t="shared" si="44"/>
        <v>77.5</v>
      </c>
    </row>
    <row r="914" s="1" customFormat="1" spans="1:6">
      <c r="A914" s="8" t="str">
        <f>"2020893112"</f>
        <v>2020893112</v>
      </c>
      <c r="B914" s="9">
        <v>60</v>
      </c>
      <c r="C914" s="9">
        <f t="shared" si="42"/>
        <v>18</v>
      </c>
      <c r="D914" s="10">
        <v>69</v>
      </c>
      <c r="E914" s="9">
        <f t="shared" si="43"/>
        <v>48.3</v>
      </c>
      <c r="F914" s="9">
        <f t="shared" si="44"/>
        <v>66.3</v>
      </c>
    </row>
    <row r="915" s="1" customFormat="1" spans="1:6">
      <c r="A915" s="8" t="str">
        <f>"2020893113"</f>
        <v>2020893113</v>
      </c>
      <c r="B915" s="9">
        <v>0</v>
      </c>
      <c r="C915" s="9">
        <f t="shared" si="42"/>
        <v>0</v>
      </c>
      <c r="D915" s="10">
        <v>0</v>
      </c>
      <c r="E915" s="9">
        <f t="shared" si="43"/>
        <v>0</v>
      </c>
      <c r="F915" s="9">
        <f t="shared" si="44"/>
        <v>0</v>
      </c>
    </row>
    <row r="916" s="1" customFormat="1" spans="1:6">
      <c r="A916" s="8" t="str">
        <f>"2020893114"</f>
        <v>2020893114</v>
      </c>
      <c r="B916" s="9">
        <v>76</v>
      </c>
      <c r="C916" s="9">
        <f t="shared" si="42"/>
        <v>22.8</v>
      </c>
      <c r="D916" s="10">
        <v>67</v>
      </c>
      <c r="E916" s="9">
        <f t="shared" si="43"/>
        <v>46.9</v>
      </c>
      <c r="F916" s="9">
        <f t="shared" si="44"/>
        <v>69.7</v>
      </c>
    </row>
    <row r="917" s="1" customFormat="1" spans="1:6">
      <c r="A917" s="8" t="str">
        <f>"2020893115"</f>
        <v>2020893115</v>
      </c>
      <c r="B917" s="9">
        <v>0</v>
      </c>
      <c r="C917" s="9">
        <f t="shared" si="42"/>
        <v>0</v>
      </c>
      <c r="D917" s="10">
        <v>0</v>
      </c>
      <c r="E917" s="9">
        <f t="shared" si="43"/>
        <v>0</v>
      </c>
      <c r="F917" s="9">
        <f t="shared" si="44"/>
        <v>0</v>
      </c>
    </row>
    <row r="918" s="1" customFormat="1" spans="1:6">
      <c r="A918" s="8" t="str">
        <f>"2020893116"</f>
        <v>2020893116</v>
      </c>
      <c r="B918" s="9">
        <v>72</v>
      </c>
      <c r="C918" s="9">
        <f t="shared" si="42"/>
        <v>21.6</v>
      </c>
      <c r="D918" s="10">
        <v>68</v>
      </c>
      <c r="E918" s="9">
        <f t="shared" si="43"/>
        <v>47.6</v>
      </c>
      <c r="F918" s="9">
        <f t="shared" si="44"/>
        <v>69.2</v>
      </c>
    </row>
    <row r="919" s="1" customFormat="1" spans="1:6">
      <c r="A919" s="8" t="str">
        <f>"2020893117"</f>
        <v>2020893117</v>
      </c>
      <c r="B919" s="9">
        <v>71</v>
      </c>
      <c r="C919" s="9">
        <f t="shared" si="42"/>
        <v>21.3</v>
      </c>
      <c r="D919" s="10">
        <v>83</v>
      </c>
      <c r="E919" s="9">
        <f t="shared" si="43"/>
        <v>58.1</v>
      </c>
      <c r="F919" s="9">
        <f t="shared" si="44"/>
        <v>79.4</v>
      </c>
    </row>
    <row r="920" s="1" customFormat="1" spans="1:6">
      <c r="A920" s="8" t="str">
        <f>"2020893118"</f>
        <v>2020893118</v>
      </c>
      <c r="B920" s="9">
        <v>60</v>
      </c>
      <c r="C920" s="9">
        <f t="shared" si="42"/>
        <v>18</v>
      </c>
      <c r="D920" s="10">
        <v>60</v>
      </c>
      <c r="E920" s="9">
        <f t="shared" si="43"/>
        <v>42</v>
      </c>
      <c r="F920" s="9">
        <f t="shared" si="44"/>
        <v>60</v>
      </c>
    </row>
    <row r="921" s="1" customFormat="1" spans="1:6">
      <c r="A921" s="8" t="str">
        <f>"2020893119"</f>
        <v>2020893119</v>
      </c>
      <c r="B921" s="9">
        <v>68</v>
      </c>
      <c r="C921" s="9">
        <f t="shared" si="42"/>
        <v>20.4</v>
      </c>
      <c r="D921" s="10">
        <v>89</v>
      </c>
      <c r="E921" s="9">
        <f t="shared" si="43"/>
        <v>62.3</v>
      </c>
      <c r="F921" s="9">
        <f t="shared" si="44"/>
        <v>82.7</v>
      </c>
    </row>
    <row r="922" s="1" customFormat="1" spans="1:6">
      <c r="A922" s="8" t="str">
        <f>"2020893120"</f>
        <v>2020893120</v>
      </c>
      <c r="B922" s="9">
        <v>68</v>
      </c>
      <c r="C922" s="9">
        <f t="shared" si="42"/>
        <v>20.4</v>
      </c>
      <c r="D922" s="10">
        <v>86</v>
      </c>
      <c r="E922" s="9">
        <f t="shared" si="43"/>
        <v>60.2</v>
      </c>
      <c r="F922" s="9">
        <f t="shared" si="44"/>
        <v>80.6</v>
      </c>
    </row>
    <row r="923" s="1" customFormat="1" spans="1:6">
      <c r="A923" s="8" t="str">
        <f>"2020893121"</f>
        <v>2020893121</v>
      </c>
      <c r="B923" s="9">
        <v>71</v>
      </c>
      <c r="C923" s="9">
        <f t="shared" si="42"/>
        <v>21.3</v>
      </c>
      <c r="D923" s="10">
        <v>87</v>
      </c>
      <c r="E923" s="9">
        <f t="shared" si="43"/>
        <v>60.9</v>
      </c>
      <c r="F923" s="9">
        <f t="shared" si="44"/>
        <v>82.2</v>
      </c>
    </row>
    <row r="924" s="1" customFormat="1" spans="1:6">
      <c r="A924" s="8" t="str">
        <f>"2020893122"</f>
        <v>2020893122</v>
      </c>
      <c r="B924" s="9">
        <v>0</v>
      </c>
      <c r="C924" s="9">
        <f t="shared" si="42"/>
        <v>0</v>
      </c>
      <c r="D924" s="10">
        <v>0</v>
      </c>
      <c r="E924" s="9">
        <f t="shared" si="43"/>
        <v>0</v>
      </c>
      <c r="F924" s="9">
        <f t="shared" si="44"/>
        <v>0</v>
      </c>
    </row>
    <row r="925" s="1" customFormat="1" spans="1:6">
      <c r="A925" s="8" t="str">
        <f>"2020893123"</f>
        <v>2020893123</v>
      </c>
      <c r="B925" s="9">
        <v>71</v>
      </c>
      <c r="C925" s="9">
        <f t="shared" si="42"/>
        <v>21.3</v>
      </c>
      <c r="D925" s="10">
        <v>81</v>
      </c>
      <c r="E925" s="9">
        <f t="shared" si="43"/>
        <v>56.7</v>
      </c>
      <c r="F925" s="9">
        <f t="shared" si="44"/>
        <v>78</v>
      </c>
    </row>
    <row r="926" s="1" customFormat="1" spans="1:6">
      <c r="A926" s="8" t="str">
        <f>"2020893124"</f>
        <v>2020893124</v>
      </c>
      <c r="B926" s="9">
        <v>72</v>
      </c>
      <c r="C926" s="9">
        <f t="shared" si="42"/>
        <v>21.6</v>
      </c>
      <c r="D926" s="10">
        <v>69</v>
      </c>
      <c r="E926" s="9">
        <f t="shared" si="43"/>
        <v>48.3</v>
      </c>
      <c r="F926" s="9">
        <f t="shared" si="44"/>
        <v>69.9</v>
      </c>
    </row>
    <row r="927" s="1" customFormat="1" spans="1:6">
      <c r="A927" s="8" t="str">
        <f>"2020893125"</f>
        <v>2020893125</v>
      </c>
      <c r="B927" s="9">
        <v>66</v>
      </c>
      <c r="C927" s="9">
        <f t="shared" si="42"/>
        <v>19.8</v>
      </c>
      <c r="D927" s="10">
        <v>64</v>
      </c>
      <c r="E927" s="9">
        <f t="shared" si="43"/>
        <v>44.8</v>
      </c>
      <c r="F927" s="9">
        <f t="shared" si="44"/>
        <v>64.6</v>
      </c>
    </row>
    <row r="928" s="1" customFormat="1" spans="1:6">
      <c r="A928" s="8" t="str">
        <f>"2020893126"</f>
        <v>2020893126</v>
      </c>
      <c r="B928" s="9">
        <v>47</v>
      </c>
      <c r="C928" s="9">
        <f t="shared" si="42"/>
        <v>14.1</v>
      </c>
      <c r="D928" s="10">
        <v>63</v>
      </c>
      <c r="E928" s="9">
        <f t="shared" si="43"/>
        <v>44.1</v>
      </c>
      <c r="F928" s="9">
        <f t="shared" si="44"/>
        <v>58.2</v>
      </c>
    </row>
    <row r="929" s="1" customFormat="1" spans="1:6">
      <c r="A929" s="8" t="str">
        <f>"2020893127"</f>
        <v>2020893127</v>
      </c>
      <c r="B929" s="9">
        <v>59</v>
      </c>
      <c r="C929" s="9">
        <f t="shared" si="42"/>
        <v>17.7</v>
      </c>
      <c r="D929" s="10">
        <v>77</v>
      </c>
      <c r="E929" s="9">
        <f t="shared" si="43"/>
        <v>53.9</v>
      </c>
      <c r="F929" s="9">
        <f t="shared" si="44"/>
        <v>71.6</v>
      </c>
    </row>
    <row r="930" s="1" customFormat="1" spans="1:6">
      <c r="A930" s="8" t="str">
        <f>"2020893128"</f>
        <v>2020893128</v>
      </c>
      <c r="B930" s="9">
        <v>70</v>
      </c>
      <c r="C930" s="9">
        <f t="shared" si="42"/>
        <v>21</v>
      </c>
      <c r="D930" s="10">
        <v>83</v>
      </c>
      <c r="E930" s="9">
        <f t="shared" si="43"/>
        <v>58.1</v>
      </c>
      <c r="F930" s="9">
        <f t="shared" si="44"/>
        <v>79.1</v>
      </c>
    </row>
    <row r="931" s="1" customFormat="1" spans="1:6">
      <c r="A931" s="8" t="str">
        <f>"2020893129"</f>
        <v>2020893129</v>
      </c>
      <c r="B931" s="9">
        <v>67</v>
      </c>
      <c r="C931" s="9">
        <f t="shared" si="42"/>
        <v>20.1</v>
      </c>
      <c r="D931" s="10">
        <v>61</v>
      </c>
      <c r="E931" s="9">
        <f t="shared" si="43"/>
        <v>42.7</v>
      </c>
      <c r="F931" s="9">
        <f t="shared" si="44"/>
        <v>62.8</v>
      </c>
    </row>
    <row r="932" s="1" customFormat="1" spans="1:6">
      <c r="A932" s="8" t="str">
        <f>"2020893130"</f>
        <v>2020893130</v>
      </c>
      <c r="B932" s="9">
        <v>39</v>
      </c>
      <c r="C932" s="9">
        <f t="shared" si="42"/>
        <v>11.7</v>
      </c>
      <c r="D932" s="10">
        <v>38</v>
      </c>
      <c r="E932" s="9">
        <f t="shared" si="43"/>
        <v>26.6</v>
      </c>
      <c r="F932" s="9">
        <f t="shared" si="44"/>
        <v>38.3</v>
      </c>
    </row>
    <row r="933" s="1" customFormat="1" spans="1:6">
      <c r="A933" s="8" t="str">
        <f>"2020893201"</f>
        <v>2020893201</v>
      </c>
      <c r="B933" s="9">
        <v>70</v>
      </c>
      <c r="C933" s="9">
        <f t="shared" si="42"/>
        <v>21</v>
      </c>
      <c r="D933" s="10">
        <v>67</v>
      </c>
      <c r="E933" s="9">
        <f t="shared" si="43"/>
        <v>46.9</v>
      </c>
      <c r="F933" s="9">
        <f t="shared" si="44"/>
        <v>67.9</v>
      </c>
    </row>
    <row r="934" s="1" customFormat="1" spans="1:6">
      <c r="A934" s="8" t="str">
        <f>"2020893202"</f>
        <v>2020893202</v>
      </c>
      <c r="B934" s="9">
        <v>0</v>
      </c>
      <c r="C934" s="9">
        <f t="shared" si="42"/>
        <v>0</v>
      </c>
      <c r="D934" s="10">
        <v>0</v>
      </c>
      <c r="E934" s="9">
        <f t="shared" si="43"/>
        <v>0</v>
      </c>
      <c r="F934" s="9">
        <f t="shared" si="44"/>
        <v>0</v>
      </c>
    </row>
    <row r="935" s="1" customFormat="1" spans="1:6">
      <c r="A935" s="8" t="str">
        <f>"2020893203"</f>
        <v>2020893203</v>
      </c>
      <c r="B935" s="9">
        <v>0</v>
      </c>
      <c r="C935" s="9">
        <f t="shared" si="42"/>
        <v>0</v>
      </c>
      <c r="D935" s="10">
        <v>0</v>
      </c>
      <c r="E935" s="9">
        <f t="shared" si="43"/>
        <v>0</v>
      </c>
      <c r="F935" s="9">
        <f t="shared" si="44"/>
        <v>0</v>
      </c>
    </row>
    <row r="936" s="1" customFormat="1" spans="1:6">
      <c r="A936" s="8" t="str">
        <f>"2020893204"</f>
        <v>2020893204</v>
      </c>
      <c r="B936" s="9">
        <v>71</v>
      </c>
      <c r="C936" s="9">
        <f t="shared" si="42"/>
        <v>21.3</v>
      </c>
      <c r="D936" s="10">
        <v>73</v>
      </c>
      <c r="E936" s="9">
        <f t="shared" si="43"/>
        <v>51.1</v>
      </c>
      <c r="F936" s="9">
        <f t="shared" si="44"/>
        <v>72.4</v>
      </c>
    </row>
    <row r="937" s="1" customFormat="1" spans="1:6">
      <c r="A937" s="8" t="str">
        <f>"2020893205"</f>
        <v>2020893205</v>
      </c>
      <c r="B937" s="9">
        <v>69</v>
      </c>
      <c r="C937" s="9">
        <f t="shared" si="42"/>
        <v>20.7</v>
      </c>
      <c r="D937" s="10">
        <v>74</v>
      </c>
      <c r="E937" s="9">
        <f t="shared" si="43"/>
        <v>51.8</v>
      </c>
      <c r="F937" s="9">
        <f t="shared" si="44"/>
        <v>72.5</v>
      </c>
    </row>
    <row r="938" s="1" customFormat="1" spans="1:6">
      <c r="A938" s="8" t="str">
        <f>"2020893206"</f>
        <v>2020893206</v>
      </c>
      <c r="B938" s="9">
        <v>78</v>
      </c>
      <c r="C938" s="9">
        <f t="shared" si="42"/>
        <v>23.4</v>
      </c>
      <c r="D938" s="10">
        <v>89</v>
      </c>
      <c r="E938" s="9">
        <f t="shared" si="43"/>
        <v>62.3</v>
      </c>
      <c r="F938" s="9">
        <f t="shared" si="44"/>
        <v>85.7</v>
      </c>
    </row>
    <row r="939" s="1" customFormat="1" spans="1:6">
      <c r="A939" s="8" t="str">
        <f>"2020893207"</f>
        <v>2020893207</v>
      </c>
      <c r="B939" s="9">
        <v>70</v>
      </c>
      <c r="C939" s="9">
        <f t="shared" si="42"/>
        <v>21</v>
      </c>
      <c r="D939" s="10">
        <v>88</v>
      </c>
      <c r="E939" s="9">
        <f t="shared" si="43"/>
        <v>61.6</v>
      </c>
      <c r="F939" s="9">
        <f t="shared" si="44"/>
        <v>82.6</v>
      </c>
    </row>
    <row r="940" s="1" customFormat="1" spans="1:6">
      <c r="A940" s="8" t="str">
        <f>"2020893208"</f>
        <v>2020893208</v>
      </c>
      <c r="B940" s="9">
        <v>70</v>
      </c>
      <c r="C940" s="9">
        <f t="shared" si="42"/>
        <v>21</v>
      </c>
      <c r="D940" s="10">
        <v>86</v>
      </c>
      <c r="E940" s="9">
        <f t="shared" si="43"/>
        <v>60.2</v>
      </c>
      <c r="F940" s="9">
        <f t="shared" si="44"/>
        <v>81.2</v>
      </c>
    </row>
    <row r="941" s="1" customFormat="1" spans="1:6">
      <c r="A941" s="8" t="str">
        <f>"2020893209"</f>
        <v>2020893209</v>
      </c>
      <c r="B941" s="9">
        <v>67</v>
      </c>
      <c r="C941" s="9">
        <f t="shared" si="42"/>
        <v>20.1</v>
      </c>
      <c r="D941" s="10">
        <v>90</v>
      </c>
      <c r="E941" s="9">
        <f t="shared" si="43"/>
        <v>63</v>
      </c>
      <c r="F941" s="9">
        <f t="shared" si="44"/>
        <v>83.1</v>
      </c>
    </row>
    <row r="942" s="1" customFormat="1" spans="1:6">
      <c r="A942" s="8" t="str">
        <f>"2020893210"</f>
        <v>2020893210</v>
      </c>
      <c r="B942" s="9">
        <v>0</v>
      </c>
      <c r="C942" s="9">
        <f t="shared" si="42"/>
        <v>0</v>
      </c>
      <c r="D942" s="10">
        <v>0</v>
      </c>
      <c r="E942" s="9">
        <f t="shared" si="43"/>
        <v>0</v>
      </c>
      <c r="F942" s="9">
        <f t="shared" si="44"/>
        <v>0</v>
      </c>
    </row>
    <row r="943" s="1" customFormat="1" spans="1:6">
      <c r="A943" s="8" t="str">
        <f>"2020893211"</f>
        <v>2020893211</v>
      </c>
      <c r="B943" s="9">
        <v>67</v>
      </c>
      <c r="C943" s="9">
        <f t="shared" si="42"/>
        <v>20.1</v>
      </c>
      <c r="D943" s="10">
        <v>81</v>
      </c>
      <c r="E943" s="9">
        <f t="shared" si="43"/>
        <v>56.7</v>
      </c>
      <c r="F943" s="9">
        <f t="shared" si="44"/>
        <v>76.8</v>
      </c>
    </row>
    <row r="944" s="1" customFormat="1" spans="1:6">
      <c r="A944" s="8" t="str">
        <f>"2020893212"</f>
        <v>2020893212</v>
      </c>
      <c r="B944" s="9">
        <v>0</v>
      </c>
      <c r="C944" s="9">
        <f t="shared" si="42"/>
        <v>0</v>
      </c>
      <c r="D944" s="10">
        <v>0</v>
      </c>
      <c r="E944" s="9">
        <f t="shared" si="43"/>
        <v>0</v>
      </c>
      <c r="F944" s="9">
        <f t="shared" si="44"/>
        <v>0</v>
      </c>
    </row>
    <row r="945" s="1" customFormat="1" spans="1:6">
      <c r="A945" s="8" t="str">
        <f>"2020893213"</f>
        <v>2020893213</v>
      </c>
      <c r="B945" s="9">
        <v>0</v>
      </c>
      <c r="C945" s="9">
        <f t="shared" si="42"/>
        <v>0</v>
      </c>
      <c r="D945" s="10">
        <v>0</v>
      </c>
      <c r="E945" s="9">
        <f t="shared" si="43"/>
        <v>0</v>
      </c>
      <c r="F945" s="9">
        <f t="shared" si="44"/>
        <v>0</v>
      </c>
    </row>
    <row r="946" s="1" customFormat="1" spans="1:6">
      <c r="A946" s="8" t="str">
        <f>"2020893214"</f>
        <v>2020893214</v>
      </c>
      <c r="B946" s="9">
        <v>62</v>
      </c>
      <c r="C946" s="9">
        <f t="shared" si="42"/>
        <v>18.6</v>
      </c>
      <c r="D946" s="10">
        <v>60</v>
      </c>
      <c r="E946" s="9">
        <f t="shared" si="43"/>
        <v>42</v>
      </c>
      <c r="F946" s="9">
        <f t="shared" si="44"/>
        <v>60.6</v>
      </c>
    </row>
    <row r="947" s="1" customFormat="1" spans="1:6">
      <c r="A947" s="8" t="str">
        <f>"2020893215"</f>
        <v>2020893215</v>
      </c>
      <c r="B947" s="9">
        <v>75</v>
      </c>
      <c r="C947" s="9">
        <f t="shared" si="42"/>
        <v>22.5</v>
      </c>
      <c r="D947" s="10">
        <v>83</v>
      </c>
      <c r="E947" s="9">
        <f t="shared" si="43"/>
        <v>58.1</v>
      </c>
      <c r="F947" s="9">
        <f t="shared" si="44"/>
        <v>80.6</v>
      </c>
    </row>
    <row r="948" s="1" customFormat="1" spans="1:6">
      <c r="A948" s="8" t="str">
        <f>"2020893216"</f>
        <v>2020893216</v>
      </c>
      <c r="B948" s="9">
        <v>0</v>
      </c>
      <c r="C948" s="9">
        <f t="shared" si="42"/>
        <v>0</v>
      </c>
      <c r="D948" s="10">
        <v>0</v>
      </c>
      <c r="E948" s="9">
        <f t="shared" si="43"/>
        <v>0</v>
      </c>
      <c r="F948" s="9">
        <f t="shared" si="44"/>
        <v>0</v>
      </c>
    </row>
    <row r="949" s="1" customFormat="1" spans="1:6">
      <c r="A949" s="8" t="str">
        <f>"2020893217"</f>
        <v>2020893217</v>
      </c>
      <c r="B949" s="9">
        <v>71</v>
      </c>
      <c r="C949" s="9">
        <f t="shared" si="42"/>
        <v>21.3</v>
      </c>
      <c r="D949" s="10">
        <v>75</v>
      </c>
      <c r="E949" s="9">
        <f t="shared" si="43"/>
        <v>52.5</v>
      </c>
      <c r="F949" s="9">
        <f t="shared" si="44"/>
        <v>73.8</v>
      </c>
    </row>
    <row r="950" s="1" customFormat="1" spans="1:6">
      <c r="A950" s="8" t="str">
        <f>"2020893218"</f>
        <v>2020893218</v>
      </c>
      <c r="B950" s="9">
        <v>0</v>
      </c>
      <c r="C950" s="9">
        <f t="shared" si="42"/>
        <v>0</v>
      </c>
      <c r="D950" s="10">
        <v>0</v>
      </c>
      <c r="E950" s="9">
        <f t="shared" si="43"/>
        <v>0</v>
      </c>
      <c r="F950" s="9">
        <f t="shared" si="44"/>
        <v>0</v>
      </c>
    </row>
    <row r="951" s="1" customFormat="1" spans="1:6">
      <c r="A951" s="8" t="str">
        <f>"2020893219"</f>
        <v>2020893219</v>
      </c>
      <c r="B951" s="9">
        <v>0</v>
      </c>
      <c r="C951" s="9">
        <f t="shared" si="42"/>
        <v>0</v>
      </c>
      <c r="D951" s="10">
        <v>0</v>
      </c>
      <c r="E951" s="9">
        <f t="shared" si="43"/>
        <v>0</v>
      </c>
      <c r="F951" s="9">
        <f t="shared" si="44"/>
        <v>0</v>
      </c>
    </row>
    <row r="952" s="1" customFormat="1" spans="1:6">
      <c r="A952" s="8" t="str">
        <f>"2020893220"</f>
        <v>2020893220</v>
      </c>
      <c r="B952" s="9">
        <v>77</v>
      </c>
      <c r="C952" s="9">
        <f t="shared" si="42"/>
        <v>23.1</v>
      </c>
      <c r="D952" s="10">
        <v>75</v>
      </c>
      <c r="E952" s="9">
        <f t="shared" si="43"/>
        <v>52.5</v>
      </c>
      <c r="F952" s="9">
        <f t="shared" si="44"/>
        <v>75.6</v>
      </c>
    </row>
    <row r="953" s="1" customFormat="1" spans="1:6">
      <c r="A953" s="8" t="str">
        <f>"2020893221"</f>
        <v>2020893221</v>
      </c>
      <c r="B953" s="9">
        <v>62</v>
      </c>
      <c r="C953" s="9">
        <f t="shared" si="42"/>
        <v>18.6</v>
      </c>
      <c r="D953" s="10">
        <v>78</v>
      </c>
      <c r="E953" s="9">
        <f t="shared" si="43"/>
        <v>54.6</v>
      </c>
      <c r="F953" s="9">
        <f t="shared" si="44"/>
        <v>73.2</v>
      </c>
    </row>
    <row r="954" s="1" customFormat="1" spans="1:6">
      <c r="A954" s="8" t="str">
        <f>"2020893222"</f>
        <v>2020893222</v>
      </c>
      <c r="B954" s="9">
        <v>72</v>
      </c>
      <c r="C954" s="9">
        <f t="shared" si="42"/>
        <v>21.6</v>
      </c>
      <c r="D954" s="10">
        <v>83</v>
      </c>
      <c r="E954" s="9">
        <f t="shared" si="43"/>
        <v>58.1</v>
      </c>
      <c r="F954" s="9">
        <f t="shared" si="44"/>
        <v>79.7</v>
      </c>
    </row>
    <row r="955" s="1" customFormat="1" spans="1:6">
      <c r="A955" s="8" t="str">
        <f>"2020893223"</f>
        <v>2020893223</v>
      </c>
      <c r="B955" s="9">
        <v>68</v>
      </c>
      <c r="C955" s="9">
        <f t="shared" si="42"/>
        <v>20.4</v>
      </c>
      <c r="D955" s="10">
        <v>73</v>
      </c>
      <c r="E955" s="9">
        <f t="shared" si="43"/>
        <v>51.1</v>
      </c>
      <c r="F955" s="9">
        <f t="shared" si="44"/>
        <v>71.5</v>
      </c>
    </row>
    <row r="956" s="1" customFormat="1" spans="1:6">
      <c r="A956" s="8" t="str">
        <f>"2020893224"</f>
        <v>2020893224</v>
      </c>
      <c r="B956" s="9">
        <v>72</v>
      </c>
      <c r="C956" s="9">
        <f t="shared" si="42"/>
        <v>21.6</v>
      </c>
      <c r="D956" s="10">
        <v>86</v>
      </c>
      <c r="E956" s="9">
        <f t="shared" si="43"/>
        <v>60.2</v>
      </c>
      <c r="F956" s="9">
        <f t="shared" si="44"/>
        <v>81.8</v>
      </c>
    </row>
    <row r="957" s="1" customFormat="1" spans="1:6">
      <c r="A957" s="8" t="str">
        <f>"2020893225"</f>
        <v>2020893225</v>
      </c>
      <c r="B957" s="9">
        <v>66</v>
      </c>
      <c r="C957" s="9">
        <f t="shared" si="42"/>
        <v>19.8</v>
      </c>
      <c r="D957" s="10">
        <v>73</v>
      </c>
      <c r="E957" s="9">
        <f t="shared" si="43"/>
        <v>51.1</v>
      </c>
      <c r="F957" s="9">
        <f t="shared" si="44"/>
        <v>70.9</v>
      </c>
    </row>
    <row r="958" s="1" customFormat="1" spans="1:6">
      <c r="A958" s="8" t="str">
        <f>"2020893226"</f>
        <v>2020893226</v>
      </c>
      <c r="B958" s="9">
        <v>0</v>
      </c>
      <c r="C958" s="9">
        <f t="shared" si="42"/>
        <v>0</v>
      </c>
      <c r="D958" s="10">
        <v>0</v>
      </c>
      <c r="E958" s="9">
        <f t="shared" si="43"/>
        <v>0</v>
      </c>
      <c r="F958" s="9">
        <f t="shared" si="44"/>
        <v>0</v>
      </c>
    </row>
    <row r="959" s="1" customFormat="1" spans="1:6">
      <c r="A959" s="8" t="str">
        <f>"2020893227"</f>
        <v>2020893227</v>
      </c>
      <c r="B959" s="9">
        <v>67</v>
      </c>
      <c r="C959" s="9">
        <f t="shared" si="42"/>
        <v>20.1</v>
      </c>
      <c r="D959" s="10">
        <v>90</v>
      </c>
      <c r="E959" s="9">
        <f t="shared" si="43"/>
        <v>63</v>
      </c>
      <c r="F959" s="9">
        <f t="shared" si="44"/>
        <v>83.1</v>
      </c>
    </row>
    <row r="960" s="1" customFormat="1" spans="1:6">
      <c r="A960" s="8" t="str">
        <f>"2020893228"</f>
        <v>2020893228</v>
      </c>
      <c r="B960" s="9">
        <v>38</v>
      </c>
      <c r="C960" s="9">
        <f t="shared" si="42"/>
        <v>11.4</v>
      </c>
      <c r="D960" s="10">
        <v>71</v>
      </c>
      <c r="E960" s="9">
        <f t="shared" si="43"/>
        <v>49.7</v>
      </c>
      <c r="F960" s="9">
        <f t="shared" si="44"/>
        <v>61.1</v>
      </c>
    </row>
    <row r="961" s="1" customFormat="1" spans="1:6">
      <c r="A961" s="8" t="str">
        <f>"2020893229"</f>
        <v>2020893229</v>
      </c>
      <c r="B961" s="9">
        <v>56</v>
      </c>
      <c r="C961" s="9">
        <f t="shared" si="42"/>
        <v>16.8</v>
      </c>
      <c r="D961" s="10">
        <v>79</v>
      </c>
      <c r="E961" s="9">
        <f t="shared" si="43"/>
        <v>55.3</v>
      </c>
      <c r="F961" s="9">
        <f t="shared" si="44"/>
        <v>72.1</v>
      </c>
    </row>
    <row r="962" s="1" customFormat="1" spans="1:6">
      <c r="A962" s="8" t="str">
        <f>"2020893230"</f>
        <v>2020893230</v>
      </c>
      <c r="B962" s="9">
        <v>70</v>
      </c>
      <c r="C962" s="9">
        <f t="shared" si="42"/>
        <v>21</v>
      </c>
      <c r="D962" s="10">
        <v>86</v>
      </c>
      <c r="E962" s="9">
        <f t="shared" si="43"/>
        <v>60.2</v>
      </c>
      <c r="F962" s="9">
        <f t="shared" si="44"/>
        <v>81.2</v>
      </c>
    </row>
    <row r="963" s="1" customFormat="1" spans="1:6">
      <c r="A963" s="8" t="str">
        <f>"2020893301"</f>
        <v>2020893301</v>
      </c>
      <c r="B963" s="9">
        <v>64</v>
      </c>
      <c r="C963" s="9">
        <f t="shared" ref="C963:C1026" si="45">B963*0.3</f>
        <v>19.2</v>
      </c>
      <c r="D963" s="10">
        <v>63</v>
      </c>
      <c r="E963" s="9">
        <f t="shared" ref="E963:E1026" si="46">D963*0.7</f>
        <v>44.1</v>
      </c>
      <c r="F963" s="9">
        <f t="shared" ref="F963:F1026" si="47">C963+E963</f>
        <v>63.3</v>
      </c>
    </row>
    <row r="964" s="1" customFormat="1" spans="1:6">
      <c r="A964" s="8" t="str">
        <f>"2020893302"</f>
        <v>2020893302</v>
      </c>
      <c r="B964" s="9">
        <v>68</v>
      </c>
      <c r="C964" s="9">
        <f t="shared" si="45"/>
        <v>20.4</v>
      </c>
      <c r="D964" s="10">
        <v>71</v>
      </c>
      <c r="E964" s="9">
        <f t="shared" si="46"/>
        <v>49.7</v>
      </c>
      <c r="F964" s="9">
        <f t="shared" si="47"/>
        <v>70.1</v>
      </c>
    </row>
    <row r="965" s="1" customFormat="1" spans="1:6">
      <c r="A965" s="8" t="str">
        <f>"2020893303"</f>
        <v>2020893303</v>
      </c>
      <c r="B965" s="9">
        <v>0</v>
      </c>
      <c r="C965" s="9">
        <f t="shared" si="45"/>
        <v>0</v>
      </c>
      <c r="D965" s="10">
        <v>0</v>
      </c>
      <c r="E965" s="9">
        <f t="shared" si="46"/>
        <v>0</v>
      </c>
      <c r="F965" s="9">
        <f t="shared" si="47"/>
        <v>0</v>
      </c>
    </row>
    <row r="966" s="1" customFormat="1" spans="1:6">
      <c r="A966" s="8" t="str">
        <f>"2020893304"</f>
        <v>2020893304</v>
      </c>
      <c r="B966" s="9">
        <v>54</v>
      </c>
      <c r="C966" s="9">
        <f t="shared" si="45"/>
        <v>16.2</v>
      </c>
      <c r="D966" s="10">
        <v>51</v>
      </c>
      <c r="E966" s="9">
        <f t="shared" si="46"/>
        <v>35.7</v>
      </c>
      <c r="F966" s="9">
        <f t="shared" si="47"/>
        <v>51.9</v>
      </c>
    </row>
    <row r="967" s="1" customFormat="1" spans="1:6">
      <c r="A967" s="8" t="str">
        <f>"2020893305"</f>
        <v>2020893305</v>
      </c>
      <c r="B967" s="9">
        <v>55</v>
      </c>
      <c r="C967" s="9">
        <f t="shared" si="45"/>
        <v>16.5</v>
      </c>
      <c r="D967" s="10">
        <v>63</v>
      </c>
      <c r="E967" s="9">
        <f t="shared" si="46"/>
        <v>44.1</v>
      </c>
      <c r="F967" s="9">
        <f t="shared" si="47"/>
        <v>60.6</v>
      </c>
    </row>
    <row r="968" s="1" customFormat="1" spans="1:6">
      <c r="A968" s="8" t="str">
        <f>"2020893306"</f>
        <v>2020893306</v>
      </c>
      <c r="B968" s="9">
        <v>64</v>
      </c>
      <c r="C968" s="9">
        <f t="shared" si="45"/>
        <v>19.2</v>
      </c>
      <c r="D968" s="10">
        <v>82</v>
      </c>
      <c r="E968" s="9">
        <f t="shared" si="46"/>
        <v>57.4</v>
      </c>
      <c r="F968" s="9">
        <f t="shared" si="47"/>
        <v>76.6</v>
      </c>
    </row>
    <row r="969" s="1" customFormat="1" spans="1:6">
      <c r="A969" s="8" t="str">
        <f>"2020893307"</f>
        <v>2020893307</v>
      </c>
      <c r="B969" s="9">
        <v>54</v>
      </c>
      <c r="C969" s="9">
        <f t="shared" si="45"/>
        <v>16.2</v>
      </c>
      <c r="D969" s="10">
        <v>66</v>
      </c>
      <c r="E969" s="9">
        <f t="shared" si="46"/>
        <v>46.2</v>
      </c>
      <c r="F969" s="9">
        <f t="shared" si="47"/>
        <v>62.4</v>
      </c>
    </row>
    <row r="970" s="1" customFormat="1" spans="1:6">
      <c r="A970" s="8" t="str">
        <f>"2020893308"</f>
        <v>2020893308</v>
      </c>
      <c r="B970" s="9">
        <v>63</v>
      </c>
      <c r="C970" s="9">
        <f t="shared" si="45"/>
        <v>18.9</v>
      </c>
      <c r="D970" s="10">
        <v>67</v>
      </c>
      <c r="E970" s="9">
        <f t="shared" si="46"/>
        <v>46.9</v>
      </c>
      <c r="F970" s="9">
        <f t="shared" si="47"/>
        <v>65.8</v>
      </c>
    </row>
    <row r="971" s="1" customFormat="1" spans="1:6">
      <c r="A971" s="8" t="str">
        <f>"2020893309"</f>
        <v>2020893309</v>
      </c>
      <c r="B971" s="9">
        <v>0</v>
      </c>
      <c r="C971" s="9">
        <f t="shared" si="45"/>
        <v>0</v>
      </c>
      <c r="D971" s="10">
        <v>0</v>
      </c>
      <c r="E971" s="9">
        <f t="shared" si="46"/>
        <v>0</v>
      </c>
      <c r="F971" s="9">
        <f t="shared" si="47"/>
        <v>0</v>
      </c>
    </row>
    <row r="972" s="1" customFormat="1" spans="1:6">
      <c r="A972" s="8" t="str">
        <f>"2020893310"</f>
        <v>2020893310</v>
      </c>
      <c r="B972" s="9">
        <v>67</v>
      </c>
      <c r="C972" s="9">
        <f t="shared" si="45"/>
        <v>20.1</v>
      </c>
      <c r="D972" s="10">
        <v>67</v>
      </c>
      <c r="E972" s="9">
        <f t="shared" si="46"/>
        <v>46.9</v>
      </c>
      <c r="F972" s="9">
        <f t="shared" si="47"/>
        <v>67</v>
      </c>
    </row>
    <row r="973" s="1" customFormat="1" spans="1:6">
      <c r="A973" s="8" t="str">
        <f>"2020893311"</f>
        <v>2020893311</v>
      </c>
      <c r="B973" s="9">
        <v>0</v>
      </c>
      <c r="C973" s="9">
        <f t="shared" si="45"/>
        <v>0</v>
      </c>
      <c r="D973" s="10">
        <v>0</v>
      </c>
      <c r="E973" s="9">
        <f t="shared" si="46"/>
        <v>0</v>
      </c>
      <c r="F973" s="9">
        <f t="shared" si="47"/>
        <v>0</v>
      </c>
    </row>
    <row r="974" s="1" customFormat="1" spans="1:6">
      <c r="A974" s="8" t="str">
        <f>"2020893312"</f>
        <v>2020893312</v>
      </c>
      <c r="B974" s="9">
        <v>71</v>
      </c>
      <c r="C974" s="9">
        <f t="shared" si="45"/>
        <v>21.3</v>
      </c>
      <c r="D974" s="10">
        <v>80</v>
      </c>
      <c r="E974" s="9">
        <f t="shared" si="46"/>
        <v>56</v>
      </c>
      <c r="F974" s="9">
        <f t="shared" si="47"/>
        <v>77.3</v>
      </c>
    </row>
    <row r="975" s="1" customFormat="1" spans="1:6">
      <c r="A975" s="8" t="str">
        <f>"2020893313"</f>
        <v>2020893313</v>
      </c>
      <c r="B975" s="9">
        <v>0</v>
      </c>
      <c r="C975" s="9">
        <f t="shared" si="45"/>
        <v>0</v>
      </c>
      <c r="D975" s="10">
        <v>0</v>
      </c>
      <c r="E975" s="9">
        <f t="shared" si="46"/>
        <v>0</v>
      </c>
      <c r="F975" s="9">
        <f t="shared" si="47"/>
        <v>0</v>
      </c>
    </row>
    <row r="976" s="1" customFormat="1" spans="1:6">
      <c r="A976" s="8" t="str">
        <f>"2020893314"</f>
        <v>2020893314</v>
      </c>
      <c r="B976" s="9">
        <v>69</v>
      </c>
      <c r="C976" s="9">
        <f t="shared" si="45"/>
        <v>20.7</v>
      </c>
      <c r="D976" s="10">
        <v>55</v>
      </c>
      <c r="E976" s="9">
        <f t="shared" si="46"/>
        <v>38.5</v>
      </c>
      <c r="F976" s="9">
        <f t="shared" si="47"/>
        <v>59.2</v>
      </c>
    </row>
    <row r="977" s="1" customFormat="1" spans="1:6">
      <c r="A977" s="8" t="str">
        <f>"2020893315"</f>
        <v>2020893315</v>
      </c>
      <c r="B977" s="9">
        <v>71</v>
      </c>
      <c r="C977" s="9">
        <f t="shared" si="45"/>
        <v>21.3</v>
      </c>
      <c r="D977" s="10">
        <v>90</v>
      </c>
      <c r="E977" s="9">
        <f t="shared" si="46"/>
        <v>63</v>
      </c>
      <c r="F977" s="9">
        <f t="shared" si="47"/>
        <v>84.3</v>
      </c>
    </row>
    <row r="978" s="1" customFormat="1" spans="1:6">
      <c r="A978" s="8" t="str">
        <f>"2020893316"</f>
        <v>2020893316</v>
      </c>
      <c r="B978" s="9">
        <v>63</v>
      </c>
      <c r="C978" s="9">
        <f t="shared" si="45"/>
        <v>18.9</v>
      </c>
      <c r="D978" s="10">
        <v>78</v>
      </c>
      <c r="E978" s="9">
        <f t="shared" si="46"/>
        <v>54.6</v>
      </c>
      <c r="F978" s="9">
        <f t="shared" si="47"/>
        <v>73.5</v>
      </c>
    </row>
    <row r="979" s="1" customFormat="1" spans="1:6">
      <c r="A979" s="8" t="str">
        <f>"2020893317"</f>
        <v>2020893317</v>
      </c>
      <c r="B979" s="9">
        <v>70</v>
      </c>
      <c r="C979" s="9">
        <f t="shared" si="45"/>
        <v>21</v>
      </c>
      <c r="D979" s="10">
        <v>65</v>
      </c>
      <c r="E979" s="9">
        <f t="shared" si="46"/>
        <v>45.5</v>
      </c>
      <c r="F979" s="9">
        <f t="shared" si="47"/>
        <v>66.5</v>
      </c>
    </row>
    <row r="980" s="1" customFormat="1" spans="1:6">
      <c r="A980" s="8" t="str">
        <f>"2020893318"</f>
        <v>2020893318</v>
      </c>
      <c r="B980" s="9">
        <v>64</v>
      </c>
      <c r="C980" s="9">
        <f t="shared" si="45"/>
        <v>19.2</v>
      </c>
      <c r="D980" s="10">
        <v>82</v>
      </c>
      <c r="E980" s="9">
        <f t="shared" si="46"/>
        <v>57.4</v>
      </c>
      <c r="F980" s="9">
        <f t="shared" si="47"/>
        <v>76.6</v>
      </c>
    </row>
    <row r="981" s="1" customFormat="1" spans="1:6">
      <c r="A981" s="8" t="str">
        <f>"2020893319"</f>
        <v>2020893319</v>
      </c>
      <c r="B981" s="9">
        <v>63</v>
      </c>
      <c r="C981" s="9">
        <f t="shared" si="45"/>
        <v>18.9</v>
      </c>
      <c r="D981" s="10">
        <v>68</v>
      </c>
      <c r="E981" s="9">
        <f t="shared" si="46"/>
        <v>47.6</v>
      </c>
      <c r="F981" s="9">
        <f t="shared" si="47"/>
        <v>66.5</v>
      </c>
    </row>
    <row r="982" s="1" customFormat="1" spans="1:6">
      <c r="A982" s="8" t="str">
        <f>"2020893320"</f>
        <v>2020893320</v>
      </c>
      <c r="B982" s="9">
        <v>71</v>
      </c>
      <c r="C982" s="9">
        <f t="shared" si="45"/>
        <v>21.3</v>
      </c>
      <c r="D982" s="10">
        <v>77</v>
      </c>
      <c r="E982" s="9">
        <f t="shared" si="46"/>
        <v>53.9</v>
      </c>
      <c r="F982" s="9">
        <f t="shared" si="47"/>
        <v>75.2</v>
      </c>
    </row>
    <row r="983" s="1" customFormat="1" spans="1:6">
      <c r="A983" s="8" t="str">
        <f>"2020893321"</f>
        <v>2020893321</v>
      </c>
      <c r="B983" s="9">
        <v>65</v>
      </c>
      <c r="C983" s="9">
        <f t="shared" si="45"/>
        <v>19.5</v>
      </c>
      <c r="D983" s="10">
        <v>65</v>
      </c>
      <c r="E983" s="9">
        <f t="shared" si="46"/>
        <v>45.5</v>
      </c>
      <c r="F983" s="9">
        <f t="shared" si="47"/>
        <v>65</v>
      </c>
    </row>
    <row r="984" s="1" customFormat="1" spans="1:6">
      <c r="A984" s="8" t="str">
        <f>"2020893322"</f>
        <v>2020893322</v>
      </c>
      <c r="B984" s="9">
        <v>68</v>
      </c>
      <c r="C984" s="9">
        <f t="shared" si="45"/>
        <v>20.4</v>
      </c>
      <c r="D984" s="10">
        <v>92</v>
      </c>
      <c r="E984" s="9">
        <f t="shared" si="46"/>
        <v>64.4</v>
      </c>
      <c r="F984" s="9">
        <f t="shared" si="47"/>
        <v>84.8</v>
      </c>
    </row>
    <row r="985" s="1" customFormat="1" spans="1:6">
      <c r="A985" s="8" t="str">
        <f>"2020893323"</f>
        <v>2020893323</v>
      </c>
      <c r="B985" s="9">
        <v>62</v>
      </c>
      <c r="C985" s="9">
        <f t="shared" si="45"/>
        <v>18.6</v>
      </c>
      <c r="D985" s="10">
        <v>78</v>
      </c>
      <c r="E985" s="9">
        <f t="shared" si="46"/>
        <v>54.6</v>
      </c>
      <c r="F985" s="9">
        <f t="shared" si="47"/>
        <v>73.2</v>
      </c>
    </row>
    <row r="986" s="1" customFormat="1" spans="1:6">
      <c r="A986" s="8" t="str">
        <f>"2020893324"</f>
        <v>2020893324</v>
      </c>
      <c r="B986" s="9">
        <v>70</v>
      </c>
      <c r="C986" s="9">
        <f t="shared" si="45"/>
        <v>21</v>
      </c>
      <c r="D986" s="10">
        <v>79</v>
      </c>
      <c r="E986" s="9">
        <f t="shared" si="46"/>
        <v>55.3</v>
      </c>
      <c r="F986" s="9">
        <f t="shared" si="47"/>
        <v>76.3</v>
      </c>
    </row>
    <row r="987" s="1" customFormat="1" spans="1:6">
      <c r="A987" s="8" t="str">
        <f>"2020893325"</f>
        <v>2020893325</v>
      </c>
      <c r="B987" s="9">
        <v>55</v>
      </c>
      <c r="C987" s="9">
        <f t="shared" si="45"/>
        <v>16.5</v>
      </c>
      <c r="D987" s="10">
        <v>54</v>
      </c>
      <c r="E987" s="9">
        <f t="shared" si="46"/>
        <v>37.8</v>
      </c>
      <c r="F987" s="9">
        <f t="shared" si="47"/>
        <v>54.3</v>
      </c>
    </row>
    <row r="988" s="1" customFormat="1" spans="1:6">
      <c r="A988" s="8" t="str">
        <f>"2020893326"</f>
        <v>2020893326</v>
      </c>
      <c r="B988" s="9">
        <v>65</v>
      </c>
      <c r="C988" s="9">
        <f t="shared" si="45"/>
        <v>19.5</v>
      </c>
      <c r="D988" s="10">
        <v>75</v>
      </c>
      <c r="E988" s="9">
        <f t="shared" si="46"/>
        <v>52.5</v>
      </c>
      <c r="F988" s="9">
        <f t="shared" si="47"/>
        <v>72</v>
      </c>
    </row>
    <row r="989" s="1" customFormat="1" spans="1:6">
      <c r="A989" s="8" t="str">
        <f>"2020893327"</f>
        <v>2020893327</v>
      </c>
      <c r="B989" s="9">
        <v>0</v>
      </c>
      <c r="C989" s="9">
        <f t="shared" si="45"/>
        <v>0</v>
      </c>
      <c r="D989" s="10">
        <v>0</v>
      </c>
      <c r="E989" s="9">
        <f t="shared" si="46"/>
        <v>0</v>
      </c>
      <c r="F989" s="9">
        <f t="shared" si="47"/>
        <v>0</v>
      </c>
    </row>
    <row r="990" s="1" customFormat="1" spans="1:6">
      <c r="A990" s="8" t="str">
        <f>"2020893328"</f>
        <v>2020893328</v>
      </c>
      <c r="B990" s="9">
        <v>70</v>
      </c>
      <c r="C990" s="9">
        <f t="shared" si="45"/>
        <v>21</v>
      </c>
      <c r="D990" s="10">
        <v>61</v>
      </c>
      <c r="E990" s="9">
        <f t="shared" si="46"/>
        <v>42.7</v>
      </c>
      <c r="F990" s="9">
        <f t="shared" si="47"/>
        <v>63.7</v>
      </c>
    </row>
    <row r="991" s="1" customFormat="1" spans="1:6">
      <c r="A991" s="8" t="str">
        <f>"2020893329"</f>
        <v>2020893329</v>
      </c>
      <c r="B991" s="9">
        <v>62</v>
      </c>
      <c r="C991" s="9">
        <f t="shared" si="45"/>
        <v>18.6</v>
      </c>
      <c r="D991" s="10">
        <v>67</v>
      </c>
      <c r="E991" s="9">
        <f t="shared" si="46"/>
        <v>46.9</v>
      </c>
      <c r="F991" s="9">
        <f t="shared" si="47"/>
        <v>65.5</v>
      </c>
    </row>
    <row r="992" s="1" customFormat="1" spans="1:6">
      <c r="A992" s="8" t="str">
        <f>"2020893330"</f>
        <v>2020893330</v>
      </c>
      <c r="B992" s="9">
        <v>0</v>
      </c>
      <c r="C992" s="9">
        <f t="shared" si="45"/>
        <v>0</v>
      </c>
      <c r="D992" s="10">
        <v>0</v>
      </c>
      <c r="E992" s="9">
        <f t="shared" si="46"/>
        <v>0</v>
      </c>
      <c r="F992" s="9">
        <f t="shared" si="47"/>
        <v>0</v>
      </c>
    </row>
    <row r="993" s="1" customFormat="1" spans="1:6">
      <c r="A993" s="8" t="str">
        <f>"2020893401"</f>
        <v>2020893401</v>
      </c>
      <c r="B993" s="9">
        <v>0</v>
      </c>
      <c r="C993" s="9">
        <f t="shared" si="45"/>
        <v>0</v>
      </c>
      <c r="D993" s="10">
        <v>0</v>
      </c>
      <c r="E993" s="9">
        <f t="shared" si="46"/>
        <v>0</v>
      </c>
      <c r="F993" s="9">
        <f t="shared" si="47"/>
        <v>0</v>
      </c>
    </row>
    <row r="994" s="1" customFormat="1" spans="1:6">
      <c r="A994" s="8" t="str">
        <f>"2020893402"</f>
        <v>2020893402</v>
      </c>
      <c r="B994" s="9">
        <v>0</v>
      </c>
      <c r="C994" s="9">
        <f t="shared" si="45"/>
        <v>0</v>
      </c>
      <c r="D994" s="10">
        <v>0</v>
      </c>
      <c r="E994" s="9">
        <f t="shared" si="46"/>
        <v>0</v>
      </c>
      <c r="F994" s="9">
        <f t="shared" si="47"/>
        <v>0</v>
      </c>
    </row>
    <row r="995" s="1" customFormat="1" spans="1:6">
      <c r="A995" s="8" t="str">
        <f>"2020893403"</f>
        <v>2020893403</v>
      </c>
      <c r="B995" s="9">
        <v>63</v>
      </c>
      <c r="C995" s="9">
        <f t="shared" si="45"/>
        <v>18.9</v>
      </c>
      <c r="D995" s="10">
        <v>89</v>
      </c>
      <c r="E995" s="9">
        <f t="shared" si="46"/>
        <v>62.3</v>
      </c>
      <c r="F995" s="9">
        <f t="shared" si="47"/>
        <v>81.2</v>
      </c>
    </row>
    <row r="996" s="1" customFormat="1" spans="1:6">
      <c r="A996" s="8" t="str">
        <f>"2020893404"</f>
        <v>2020893404</v>
      </c>
      <c r="B996" s="9">
        <v>56</v>
      </c>
      <c r="C996" s="9">
        <f t="shared" si="45"/>
        <v>16.8</v>
      </c>
      <c r="D996" s="10">
        <v>69</v>
      </c>
      <c r="E996" s="9">
        <f t="shared" si="46"/>
        <v>48.3</v>
      </c>
      <c r="F996" s="9">
        <f t="shared" si="47"/>
        <v>65.1</v>
      </c>
    </row>
    <row r="997" s="1" customFormat="1" spans="1:6">
      <c r="A997" s="8" t="str">
        <f>"2020893405"</f>
        <v>2020893405</v>
      </c>
      <c r="B997" s="9">
        <v>52</v>
      </c>
      <c r="C997" s="9">
        <f t="shared" si="45"/>
        <v>15.6</v>
      </c>
      <c r="D997" s="10">
        <v>52</v>
      </c>
      <c r="E997" s="9">
        <f t="shared" si="46"/>
        <v>36.4</v>
      </c>
      <c r="F997" s="9">
        <f t="shared" si="47"/>
        <v>52</v>
      </c>
    </row>
    <row r="998" s="1" customFormat="1" spans="1:6">
      <c r="A998" s="8" t="str">
        <f>"2020893406"</f>
        <v>2020893406</v>
      </c>
      <c r="B998" s="9">
        <v>71</v>
      </c>
      <c r="C998" s="9">
        <f t="shared" si="45"/>
        <v>21.3</v>
      </c>
      <c r="D998" s="10">
        <v>82</v>
      </c>
      <c r="E998" s="9">
        <f t="shared" si="46"/>
        <v>57.4</v>
      </c>
      <c r="F998" s="9">
        <f t="shared" si="47"/>
        <v>78.7</v>
      </c>
    </row>
    <row r="999" s="1" customFormat="1" spans="1:6">
      <c r="A999" s="8" t="str">
        <f>"2020893407"</f>
        <v>2020893407</v>
      </c>
      <c r="B999" s="9">
        <v>70</v>
      </c>
      <c r="C999" s="9">
        <f t="shared" si="45"/>
        <v>21</v>
      </c>
      <c r="D999" s="10">
        <v>85</v>
      </c>
      <c r="E999" s="9">
        <f t="shared" si="46"/>
        <v>59.5</v>
      </c>
      <c r="F999" s="9">
        <f t="shared" si="47"/>
        <v>80.5</v>
      </c>
    </row>
    <row r="1000" s="1" customFormat="1" spans="1:6">
      <c r="A1000" s="8" t="str">
        <f>"2020893408"</f>
        <v>2020893408</v>
      </c>
      <c r="B1000" s="9">
        <v>72</v>
      </c>
      <c r="C1000" s="9">
        <f t="shared" si="45"/>
        <v>21.6</v>
      </c>
      <c r="D1000" s="10">
        <v>73</v>
      </c>
      <c r="E1000" s="9">
        <f t="shared" si="46"/>
        <v>51.1</v>
      </c>
      <c r="F1000" s="9">
        <f t="shared" si="47"/>
        <v>72.7</v>
      </c>
    </row>
    <row r="1001" s="1" customFormat="1" spans="1:6">
      <c r="A1001" s="8" t="str">
        <f>"2020893409"</f>
        <v>2020893409</v>
      </c>
      <c r="B1001" s="9">
        <v>54</v>
      </c>
      <c r="C1001" s="9">
        <f t="shared" si="45"/>
        <v>16.2</v>
      </c>
      <c r="D1001" s="10">
        <v>81</v>
      </c>
      <c r="E1001" s="9">
        <f t="shared" si="46"/>
        <v>56.7</v>
      </c>
      <c r="F1001" s="9">
        <f t="shared" si="47"/>
        <v>72.9</v>
      </c>
    </row>
    <row r="1002" s="1" customFormat="1" spans="1:6">
      <c r="A1002" s="8" t="str">
        <f>"2020893410"</f>
        <v>2020893410</v>
      </c>
      <c r="B1002" s="9">
        <v>64</v>
      </c>
      <c r="C1002" s="9">
        <f t="shared" si="45"/>
        <v>19.2</v>
      </c>
      <c r="D1002" s="10">
        <v>82</v>
      </c>
      <c r="E1002" s="9">
        <f t="shared" si="46"/>
        <v>57.4</v>
      </c>
      <c r="F1002" s="9">
        <f t="shared" si="47"/>
        <v>76.6</v>
      </c>
    </row>
    <row r="1003" s="1" customFormat="1" spans="1:6">
      <c r="A1003" s="8" t="str">
        <f>"2020893411"</f>
        <v>2020893411</v>
      </c>
      <c r="B1003" s="9">
        <v>61</v>
      </c>
      <c r="C1003" s="9">
        <f t="shared" si="45"/>
        <v>18.3</v>
      </c>
      <c r="D1003" s="10">
        <v>70</v>
      </c>
      <c r="E1003" s="9">
        <f t="shared" si="46"/>
        <v>49</v>
      </c>
      <c r="F1003" s="9">
        <f t="shared" si="47"/>
        <v>67.3</v>
      </c>
    </row>
    <row r="1004" s="1" customFormat="1" spans="1:6">
      <c r="A1004" s="8" t="str">
        <f>"2020893412"</f>
        <v>2020893412</v>
      </c>
      <c r="B1004" s="9">
        <v>65</v>
      </c>
      <c r="C1004" s="9">
        <f t="shared" si="45"/>
        <v>19.5</v>
      </c>
      <c r="D1004" s="10">
        <v>64</v>
      </c>
      <c r="E1004" s="9">
        <f t="shared" si="46"/>
        <v>44.8</v>
      </c>
      <c r="F1004" s="9">
        <f t="shared" si="47"/>
        <v>64.3</v>
      </c>
    </row>
    <row r="1005" s="1" customFormat="1" spans="1:6">
      <c r="A1005" s="8" t="str">
        <f>"2020893413"</f>
        <v>2020893413</v>
      </c>
      <c r="B1005" s="9">
        <v>0</v>
      </c>
      <c r="C1005" s="9">
        <f t="shared" si="45"/>
        <v>0</v>
      </c>
      <c r="D1005" s="10">
        <v>0</v>
      </c>
      <c r="E1005" s="9">
        <f t="shared" si="46"/>
        <v>0</v>
      </c>
      <c r="F1005" s="9">
        <f t="shared" si="47"/>
        <v>0</v>
      </c>
    </row>
    <row r="1006" s="1" customFormat="1" spans="1:6">
      <c r="A1006" s="8" t="str">
        <f>"2020893414"</f>
        <v>2020893414</v>
      </c>
      <c r="B1006" s="9">
        <v>0</v>
      </c>
      <c r="C1006" s="9">
        <f t="shared" si="45"/>
        <v>0</v>
      </c>
      <c r="D1006" s="10">
        <v>0</v>
      </c>
      <c r="E1006" s="9">
        <f t="shared" si="46"/>
        <v>0</v>
      </c>
      <c r="F1006" s="9">
        <f t="shared" si="47"/>
        <v>0</v>
      </c>
    </row>
    <row r="1007" s="1" customFormat="1" spans="1:6">
      <c r="A1007" s="8" t="str">
        <f>"2020893415"</f>
        <v>2020893415</v>
      </c>
      <c r="B1007" s="9">
        <v>73</v>
      </c>
      <c r="C1007" s="9">
        <f t="shared" si="45"/>
        <v>21.9</v>
      </c>
      <c r="D1007" s="10">
        <v>83</v>
      </c>
      <c r="E1007" s="9">
        <f t="shared" si="46"/>
        <v>58.1</v>
      </c>
      <c r="F1007" s="9">
        <f t="shared" si="47"/>
        <v>80</v>
      </c>
    </row>
    <row r="1008" s="1" customFormat="1" spans="1:6">
      <c r="A1008" s="8" t="str">
        <f>"2020893416"</f>
        <v>2020893416</v>
      </c>
      <c r="B1008" s="9">
        <v>65</v>
      </c>
      <c r="C1008" s="9">
        <f t="shared" si="45"/>
        <v>19.5</v>
      </c>
      <c r="D1008" s="10">
        <v>55</v>
      </c>
      <c r="E1008" s="9">
        <f t="shared" si="46"/>
        <v>38.5</v>
      </c>
      <c r="F1008" s="9">
        <f t="shared" si="47"/>
        <v>58</v>
      </c>
    </row>
    <row r="1009" s="1" customFormat="1" spans="1:6">
      <c r="A1009" s="8" t="str">
        <f>"2020893417"</f>
        <v>2020893417</v>
      </c>
      <c r="B1009" s="9">
        <v>68</v>
      </c>
      <c r="C1009" s="9">
        <f t="shared" si="45"/>
        <v>20.4</v>
      </c>
      <c r="D1009" s="10">
        <v>64</v>
      </c>
      <c r="E1009" s="9">
        <f t="shared" si="46"/>
        <v>44.8</v>
      </c>
      <c r="F1009" s="9">
        <f t="shared" si="47"/>
        <v>65.2</v>
      </c>
    </row>
    <row r="1010" s="1" customFormat="1" spans="1:6">
      <c r="A1010" s="8" t="str">
        <f>"2020893418"</f>
        <v>2020893418</v>
      </c>
      <c r="B1010" s="9">
        <v>62</v>
      </c>
      <c r="C1010" s="9">
        <f t="shared" si="45"/>
        <v>18.6</v>
      </c>
      <c r="D1010" s="10">
        <v>73</v>
      </c>
      <c r="E1010" s="9">
        <f t="shared" si="46"/>
        <v>51.1</v>
      </c>
      <c r="F1010" s="9">
        <f t="shared" si="47"/>
        <v>69.7</v>
      </c>
    </row>
    <row r="1011" s="1" customFormat="1" spans="1:6">
      <c r="A1011" s="8" t="str">
        <f>"2020893419"</f>
        <v>2020893419</v>
      </c>
      <c r="B1011" s="9">
        <v>73</v>
      </c>
      <c r="C1011" s="9">
        <f t="shared" si="45"/>
        <v>21.9</v>
      </c>
      <c r="D1011" s="10">
        <v>89</v>
      </c>
      <c r="E1011" s="9">
        <f t="shared" si="46"/>
        <v>62.3</v>
      </c>
      <c r="F1011" s="9">
        <f t="shared" si="47"/>
        <v>84.2</v>
      </c>
    </row>
    <row r="1012" s="1" customFormat="1" spans="1:6">
      <c r="A1012" s="8" t="str">
        <f>"2020893420"</f>
        <v>2020893420</v>
      </c>
      <c r="B1012" s="9">
        <v>77</v>
      </c>
      <c r="C1012" s="9">
        <f t="shared" si="45"/>
        <v>23.1</v>
      </c>
      <c r="D1012" s="10">
        <v>73</v>
      </c>
      <c r="E1012" s="9">
        <f t="shared" si="46"/>
        <v>51.1</v>
      </c>
      <c r="F1012" s="9">
        <f t="shared" si="47"/>
        <v>74.2</v>
      </c>
    </row>
    <row r="1013" s="1" customFormat="1" spans="1:6">
      <c r="A1013" s="8" t="str">
        <f>"2020893421"</f>
        <v>2020893421</v>
      </c>
      <c r="B1013" s="9">
        <v>65</v>
      </c>
      <c r="C1013" s="9">
        <f t="shared" si="45"/>
        <v>19.5</v>
      </c>
      <c r="D1013" s="10">
        <v>77</v>
      </c>
      <c r="E1013" s="9">
        <f t="shared" si="46"/>
        <v>53.9</v>
      </c>
      <c r="F1013" s="9">
        <f t="shared" si="47"/>
        <v>73.4</v>
      </c>
    </row>
    <row r="1014" s="1" customFormat="1" spans="1:6">
      <c r="A1014" s="8" t="str">
        <f>"2020893422"</f>
        <v>2020893422</v>
      </c>
      <c r="B1014" s="9">
        <v>71</v>
      </c>
      <c r="C1014" s="9">
        <f t="shared" si="45"/>
        <v>21.3</v>
      </c>
      <c r="D1014" s="10">
        <v>68</v>
      </c>
      <c r="E1014" s="9">
        <f t="shared" si="46"/>
        <v>47.6</v>
      </c>
      <c r="F1014" s="9">
        <f t="shared" si="47"/>
        <v>68.9</v>
      </c>
    </row>
    <row r="1015" s="1" customFormat="1" spans="1:6">
      <c r="A1015" s="8" t="str">
        <f>"2020893423"</f>
        <v>2020893423</v>
      </c>
      <c r="B1015" s="9">
        <v>74</v>
      </c>
      <c r="C1015" s="9">
        <f t="shared" si="45"/>
        <v>22.2</v>
      </c>
      <c r="D1015" s="10">
        <v>79</v>
      </c>
      <c r="E1015" s="9">
        <f t="shared" si="46"/>
        <v>55.3</v>
      </c>
      <c r="F1015" s="9">
        <f t="shared" si="47"/>
        <v>77.5</v>
      </c>
    </row>
    <row r="1016" s="1" customFormat="1" spans="1:6">
      <c r="A1016" s="8" t="str">
        <f>"2020893424"</f>
        <v>2020893424</v>
      </c>
      <c r="B1016" s="9">
        <v>0</v>
      </c>
      <c r="C1016" s="9">
        <f t="shared" si="45"/>
        <v>0</v>
      </c>
      <c r="D1016" s="10">
        <v>0</v>
      </c>
      <c r="E1016" s="9">
        <f t="shared" si="46"/>
        <v>0</v>
      </c>
      <c r="F1016" s="9">
        <f t="shared" si="47"/>
        <v>0</v>
      </c>
    </row>
    <row r="1017" s="1" customFormat="1" spans="1:6">
      <c r="A1017" s="8" t="str">
        <f>"2020893425"</f>
        <v>2020893425</v>
      </c>
      <c r="B1017" s="9">
        <v>79</v>
      </c>
      <c r="C1017" s="9">
        <f t="shared" si="45"/>
        <v>23.7</v>
      </c>
      <c r="D1017" s="10">
        <v>79</v>
      </c>
      <c r="E1017" s="9">
        <f t="shared" si="46"/>
        <v>55.3</v>
      </c>
      <c r="F1017" s="9">
        <f t="shared" si="47"/>
        <v>79</v>
      </c>
    </row>
    <row r="1018" s="1" customFormat="1" spans="1:6">
      <c r="A1018" s="8" t="str">
        <f>"2020893426"</f>
        <v>2020893426</v>
      </c>
      <c r="B1018" s="9">
        <v>63</v>
      </c>
      <c r="C1018" s="9">
        <f t="shared" si="45"/>
        <v>18.9</v>
      </c>
      <c r="D1018" s="10">
        <v>79</v>
      </c>
      <c r="E1018" s="9">
        <f t="shared" si="46"/>
        <v>55.3</v>
      </c>
      <c r="F1018" s="9">
        <f t="shared" si="47"/>
        <v>74.2</v>
      </c>
    </row>
    <row r="1019" s="1" customFormat="1" spans="1:6">
      <c r="A1019" s="8" t="str">
        <f>"2020893427"</f>
        <v>2020893427</v>
      </c>
      <c r="B1019" s="9">
        <v>0</v>
      </c>
      <c r="C1019" s="9">
        <f t="shared" si="45"/>
        <v>0</v>
      </c>
      <c r="D1019" s="10">
        <v>0</v>
      </c>
      <c r="E1019" s="9">
        <f t="shared" si="46"/>
        <v>0</v>
      </c>
      <c r="F1019" s="9">
        <f t="shared" si="47"/>
        <v>0</v>
      </c>
    </row>
    <row r="1020" s="1" customFormat="1" spans="1:6">
      <c r="A1020" s="8" t="str">
        <f>"2020893428"</f>
        <v>2020893428</v>
      </c>
      <c r="B1020" s="9">
        <v>0</v>
      </c>
      <c r="C1020" s="9">
        <f t="shared" si="45"/>
        <v>0</v>
      </c>
      <c r="D1020" s="10">
        <v>0</v>
      </c>
      <c r="E1020" s="9">
        <f t="shared" si="46"/>
        <v>0</v>
      </c>
      <c r="F1020" s="9">
        <f t="shared" si="47"/>
        <v>0</v>
      </c>
    </row>
    <row r="1021" s="1" customFormat="1" spans="1:6">
      <c r="A1021" s="8" t="str">
        <f>"2020893429"</f>
        <v>2020893429</v>
      </c>
      <c r="B1021" s="9">
        <v>71</v>
      </c>
      <c r="C1021" s="9">
        <f t="shared" si="45"/>
        <v>21.3</v>
      </c>
      <c r="D1021" s="10">
        <v>70</v>
      </c>
      <c r="E1021" s="9">
        <f t="shared" si="46"/>
        <v>49</v>
      </c>
      <c r="F1021" s="9">
        <f t="shared" si="47"/>
        <v>70.3</v>
      </c>
    </row>
    <row r="1022" s="1" customFormat="1" spans="1:6">
      <c r="A1022" s="8" t="str">
        <f>"2020893430"</f>
        <v>2020893430</v>
      </c>
      <c r="B1022" s="9">
        <v>56</v>
      </c>
      <c r="C1022" s="9">
        <f t="shared" si="45"/>
        <v>16.8</v>
      </c>
      <c r="D1022" s="10">
        <v>63</v>
      </c>
      <c r="E1022" s="9">
        <f t="shared" si="46"/>
        <v>44.1</v>
      </c>
      <c r="F1022" s="9">
        <f t="shared" si="47"/>
        <v>60.9</v>
      </c>
    </row>
    <row r="1023" s="1" customFormat="1" spans="1:6">
      <c r="A1023" s="8" t="str">
        <f>"2020893501"</f>
        <v>2020893501</v>
      </c>
      <c r="B1023" s="9">
        <v>59</v>
      </c>
      <c r="C1023" s="9">
        <f t="shared" si="45"/>
        <v>17.7</v>
      </c>
      <c r="D1023" s="10">
        <v>55</v>
      </c>
      <c r="E1023" s="9">
        <f t="shared" si="46"/>
        <v>38.5</v>
      </c>
      <c r="F1023" s="9">
        <f t="shared" si="47"/>
        <v>56.2</v>
      </c>
    </row>
    <row r="1024" s="1" customFormat="1" spans="1:6">
      <c r="A1024" s="8" t="str">
        <f>"2020893502"</f>
        <v>2020893502</v>
      </c>
      <c r="B1024" s="9">
        <v>0</v>
      </c>
      <c r="C1024" s="9">
        <f t="shared" si="45"/>
        <v>0</v>
      </c>
      <c r="D1024" s="10">
        <v>0</v>
      </c>
      <c r="E1024" s="9">
        <f t="shared" si="46"/>
        <v>0</v>
      </c>
      <c r="F1024" s="9">
        <f t="shared" si="47"/>
        <v>0</v>
      </c>
    </row>
    <row r="1025" s="1" customFormat="1" spans="1:6">
      <c r="A1025" s="8" t="str">
        <f>"2020893503"</f>
        <v>2020893503</v>
      </c>
      <c r="B1025" s="9">
        <v>63</v>
      </c>
      <c r="C1025" s="9">
        <f t="shared" si="45"/>
        <v>18.9</v>
      </c>
      <c r="D1025" s="10">
        <v>55</v>
      </c>
      <c r="E1025" s="9">
        <f t="shared" si="46"/>
        <v>38.5</v>
      </c>
      <c r="F1025" s="9">
        <f t="shared" si="47"/>
        <v>57.4</v>
      </c>
    </row>
    <row r="1026" s="1" customFormat="1" spans="1:6">
      <c r="A1026" s="8" t="str">
        <f>"2020893504"</f>
        <v>2020893504</v>
      </c>
      <c r="B1026" s="9">
        <v>70</v>
      </c>
      <c r="C1026" s="9">
        <f t="shared" si="45"/>
        <v>21</v>
      </c>
      <c r="D1026" s="10">
        <v>80</v>
      </c>
      <c r="E1026" s="9">
        <f t="shared" si="46"/>
        <v>56</v>
      </c>
      <c r="F1026" s="9">
        <f t="shared" si="47"/>
        <v>77</v>
      </c>
    </row>
    <row r="1027" s="1" customFormat="1" spans="1:6">
      <c r="A1027" s="8" t="str">
        <f>"2020893505"</f>
        <v>2020893505</v>
      </c>
      <c r="B1027" s="9">
        <v>72</v>
      </c>
      <c r="C1027" s="9">
        <f t="shared" ref="C1027:C1090" si="48">B1027*0.3</f>
        <v>21.6</v>
      </c>
      <c r="D1027" s="10">
        <v>78</v>
      </c>
      <c r="E1027" s="9">
        <f t="shared" ref="E1027:E1090" si="49">D1027*0.7</f>
        <v>54.6</v>
      </c>
      <c r="F1027" s="9">
        <f t="shared" ref="F1027:F1090" si="50">C1027+E1027</f>
        <v>76.2</v>
      </c>
    </row>
    <row r="1028" s="1" customFormat="1" spans="1:6">
      <c r="A1028" s="8" t="str">
        <f>"2020893506"</f>
        <v>2020893506</v>
      </c>
      <c r="B1028" s="9">
        <v>57</v>
      </c>
      <c r="C1028" s="9">
        <f t="shared" si="48"/>
        <v>17.1</v>
      </c>
      <c r="D1028" s="10">
        <v>50</v>
      </c>
      <c r="E1028" s="9">
        <f t="shared" si="49"/>
        <v>35</v>
      </c>
      <c r="F1028" s="9">
        <f t="shared" si="50"/>
        <v>52.1</v>
      </c>
    </row>
    <row r="1029" s="1" customFormat="1" spans="1:6">
      <c r="A1029" s="8" t="str">
        <f>"2020893507"</f>
        <v>2020893507</v>
      </c>
      <c r="B1029" s="9">
        <v>0</v>
      </c>
      <c r="C1029" s="9">
        <f t="shared" si="48"/>
        <v>0</v>
      </c>
      <c r="D1029" s="10">
        <v>0</v>
      </c>
      <c r="E1029" s="9">
        <f t="shared" si="49"/>
        <v>0</v>
      </c>
      <c r="F1029" s="9">
        <f t="shared" si="50"/>
        <v>0</v>
      </c>
    </row>
    <row r="1030" s="1" customFormat="1" spans="1:6">
      <c r="A1030" s="8" t="str">
        <f>"2020893508"</f>
        <v>2020893508</v>
      </c>
      <c r="B1030" s="9">
        <v>62</v>
      </c>
      <c r="C1030" s="9">
        <f t="shared" si="48"/>
        <v>18.6</v>
      </c>
      <c r="D1030" s="10">
        <v>75</v>
      </c>
      <c r="E1030" s="9">
        <f t="shared" si="49"/>
        <v>52.5</v>
      </c>
      <c r="F1030" s="9">
        <f t="shared" si="50"/>
        <v>71.1</v>
      </c>
    </row>
    <row r="1031" s="1" customFormat="1" spans="1:6">
      <c r="A1031" s="8" t="str">
        <f>"2020893509"</f>
        <v>2020893509</v>
      </c>
      <c r="B1031" s="9">
        <v>76</v>
      </c>
      <c r="C1031" s="9">
        <f t="shared" si="48"/>
        <v>22.8</v>
      </c>
      <c r="D1031" s="10">
        <v>81</v>
      </c>
      <c r="E1031" s="9">
        <f t="shared" si="49"/>
        <v>56.7</v>
      </c>
      <c r="F1031" s="9">
        <f t="shared" si="50"/>
        <v>79.5</v>
      </c>
    </row>
    <row r="1032" s="1" customFormat="1" spans="1:6">
      <c r="A1032" s="8" t="str">
        <f>"2020893510"</f>
        <v>2020893510</v>
      </c>
      <c r="B1032" s="9">
        <v>57</v>
      </c>
      <c r="C1032" s="9">
        <f t="shared" si="48"/>
        <v>17.1</v>
      </c>
      <c r="D1032" s="10">
        <v>73</v>
      </c>
      <c r="E1032" s="9">
        <f t="shared" si="49"/>
        <v>51.1</v>
      </c>
      <c r="F1032" s="9">
        <f t="shared" si="50"/>
        <v>68.2</v>
      </c>
    </row>
    <row r="1033" s="1" customFormat="1" spans="1:6">
      <c r="A1033" s="8" t="str">
        <f>"2020893511"</f>
        <v>2020893511</v>
      </c>
      <c r="B1033" s="9">
        <v>60</v>
      </c>
      <c r="C1033" s="9">
        <f t="shared" si="48"/>
        <v>18</v>
      </c>
      <c r="D1033" s="10">
        <v>65</v>
      </c>
      <c r="E1033" s="9">
        <f t="shared" si="49"/>
        <v>45.5</v>
      </c>
      <c r="F1033" s="9">
        <f t="shared" si="50"/>
        <v>63.5</v>
      </c>
    </row>
    <row r="1034" s="1" customFormat="1" spans="1:6">
      <c r="A1034" s="8" t="str">
        <f>"2020893512"</f>
        <v>2020893512</v>
      </c>
      <c r="B1034" s="9">
        <v>66</v>
      </c>
      <c r="C1034" s="9">
        <f t="shared" si="48"/>
        <v>19.8</v>
      </c>
      <c r="D1034" s="10">
        <v>87</v>
      </c>
      <c r="E1034" s="9">
        <f t="shared" si="49"/>
        <v>60.9</v>
      </c>
      <c r="F1034" s="9">
        <f t="shared" si="50"/>
        <v>80.7</v>
      </c>
    </row>
    <row r="1035" s="1" customFormat="1" spans="1:6">
      <c r="A1035" s="8" t="str">
        <f>"2020893513"</f>
        <v>2020893513</v>
      </c>
      <c r="B1035" s="9">
        <v>0</v>
      </c>
      <c r="C1035" s="9">
        <f t="shared" si="48"/>
        <v>0</v>
      </c>
      <c r="D1035" s="10">
        <v>0</v>
      </c>
      <c r="E1035" s="9">
        <f t="shared" si="49"/>
        <v>0</v>
      </c>
      <c r="F1035" s="9">
        <f t="shared" si="50"/>
        <v>0</v>
      </c>
    </row>
    <row r="1036" s="1" customFormat="1" spans="1:6">
      <c r="A1036" s="8" t="str">
        <f>"2020893514"</f>
        <v>2020893514</v>
      </c>
      <c r="B1036" s="9">
        <v>0</v>
      </c>
      <c r="C1036" s="9">
        <f t="shared" si="48"/>
        <v>0</v>
      </c>
      <c r="D1036" s="10">
        <v>0</v>
      </c>
      <c r="E1036" s="9">
        <f t="shared" si="49"/>
        <v>0</v>
      </c>
      <c r="F1036" s="9">
        <f t="shared" si="50"/>
        <v>0</v>
      </c>
    </row>
    <row r="1037" s="1" customFormat="1" spans="1:6">
      <c r="A1037" s="8" t="str">
        <f>"2020893515"</f>
        <v>2020893515</v>
      </c>
      <c r="B1037" s="9">
        <v>67</v>
      </c>
      <c r="C1037" s="9">
        <f t="shared" si="48"/>
        <v>20.1</v>
      </c>
      <c r="D1037" s="10">
        <v>81</v>
      </c>
      <c r="E1037" s="9">
        <f t="shared" si="49"/>
        <v>56.7</v>
      </c>
      <c r="F1037" s="9">
        <f t="shared" si="50"/>
        <v>76.8</v>
      </c>
    </row>
    <row r="1038" s="1" customFormat="1" spans="1:6">
      <c r="A1038" s="8" t="str">
        <f>"2020893516"</f>
        <v>2020893516</v>
      </c>
      <c r="B1038" s="9">
        <v>75</v>
      </c>
      <c r="C1038" s="9">
        <f t="shared" si="48"/>
        <v>22.5</v>
      </c>
      <c r="D1038" s="10">
        <v>65</v>
      </c>
      <c r="E1038" s="9">
        <f t="shared" si="49"/>
        <v>45.5</v>
      </c>
      <c r="F1038" s="9">
        <f t="shared" si="50"/>
        <v>68</v>
      </c>
    </row>
    <row r="1039" s="1" customFormat="1" spans="1:6">
      <c r="A1039" s="8" t="str">
        <f>"2020893517"</f>
        <v>2020893517</v>
      </c>
      <c r="B1039" s="9">
        <v>0</v>
      </c>
      <c r="C1039" s="9">
        <f t="shared" si="48"/>
        <v>0</v>
      </c>
      <c r="D1039" s="10">
        <v>0</v>
      </c>
      <c r="E1039" s="9">
        <f t="shared" si="49"/>
        <v>0</v>
      </c>
      <c r="F1039" s="9">
        <f t="shared" si="50"/>
        <v>0</v>
      </c>
    </row>
    <row r="1040" s="1" customFormat="1" spans="1:6">
      <c r="A1040" s="8" t="str">
        <f>"2020893518"</f>
        <v>2020893518</v>
      </c>
      <c r="B1040" s="9">
        <v>65</v>
      </c>
      <c r="C1040" s="9">
        <f t="shared" si="48"/>
        <v>19.5</v>
      </c>
      <c r="D1040" s="10">
        <v>89</v>
      </c>
      <c r="E1040" s="9">
        <f t="shared" si="49"/>
        <v>62.3</v>
      </c>
      <c r="F1040" s="9">
        <f t="shared" si="50"/>
        <v>81.8</v>
      </c>
    </row>
    <row r="1041" s="1" customFormat="1" spans="1:6">
      <c r="A1041" s="8" t="str">
        <f>"2020893519"</f>
        <v>2020893519</v>
      </c>
      <c r="B1041" s="9">
        <v>81</v>
      </c>
      <c r="C1041" s="9">
        <f t="shared" si="48"/>
        <v>24.3</v>
      </c>
      <c r="D1041" s="10">
        <v>93</v>
      </c>
      <c r="E1041" s="9">
        <f t="shared" si="49"/>
        <v>65.1</v>
      </c>
      <c r="F1041" s="9">
        <f t="shared" si="50"/>
        <v>89.4</v>
      </c>
    </row>
    <row r="1042" s="1" customFormat="1" spans="1:6">
      <c r="A1042" s="8" t="str">
        <f>"2020893520"</f>
        <v>2020893520</v>
      </c>
      <c r="B1042" s="9">
        <v>0</v>
      </c>
      <c r="C1042" s="9">
        <f t="shared" si="48"/>
        <v>0</v>
      </c>
      <c r="D1042" s="10">
        <v>0</v>
      </c>
      <c r="E1042" s="9">
        <f t="shared" si="49"/>
        <v>0</v>
      </c>
      <c r="F1042" s="9">
        <f t="shared" si="50"/>
        <v>0</v>
      </c>
    </row>
    <row r="1043" s="1" customFormat="1" spans="1:6">
      <c r="A1043" s="8" t="str">
        <f>"2020893521"</f>
        <v>2020893521</v>
      </c>
      <c r="B1043" s="9">
        <v>48</v>
      </c>
      <c r="C1043" s="9">
        <f t="shared" si="48"/>
        <v>14.4</v>
      </c>
      <c r="D1043" s="10">
        <v>54</v>
      </c>
      <c r="E1043" s="9">
        <f t="shared" si="49"/>
        <v>37.8</v>
      </c>
      <c r="F1043" s="9">
        <f t="shared" si="50"/>
        <v>52.2</v>
      </c>
    </row>
    <row r="1044" s="1" customFormat="1" spans="1:6">
      <c r="A1044" s="8" t="str">
        <f>"2020893522"</f>
        <v>2020893522</v>
      </c>
      <c r="B1044" s="9">
        <v>68</v>
      </c>
      <c r="C1044" s="9">
        <f t="shared" si="48"/>
        <v>20.4</v>
      </c>
      <c r="D1044" s="10">
        <v>63</v>
      </c>
      <c r="E1044" s="9">
        <f t="shared" si="49"/>
        <v>44.1</v>
      </c>
      <c r="F1044" s="9">
        <f t="shared" si="50"/>
        <v>64.5</v>
      </c>
    </row>
    <row r="1045" s="1" customFormat="1" spans="1:6">
      <c r="A1045" s="8" t="str">
        <f>"2020893523"</f>
        <v>2020893523</v>
      </c>
      <c r="B1045" s="9">
        <v>71</v>
      </c>
      <c r="C1045" s="9">
        <f t="shared" si="48"/>
        <v>21.3</v>
      </c>
      <c r="D1045" s="10">
        <v>70</v>
      </c>
      <c r="E1045" s="9">
        <f t="shared" si="49"/>
        <v>49</v>
      </c>
      <c r="F1045" s="9">
        <f t="shared" si="50"/>
        <v>70.3</v>
      </c>
    </row>
    <row r="1046" s="1" customFormat="1" spans="1:6">
      <c r="A1046" s="8" t="str">
        <f>"2020893524"</f>
        <v>2020893524</v>
      </c>
      <c r="B1046" s="9">
        <v>0</v>
      </c>
      <c r="C1046" s="9">
        <f t="shared" si="48"/>
        <v>0</v>
      </c>
      <c r="D1046" s="10">
        <v>0</v>
      </c>
      <c r="E1046" s="9">
        <f t="shared" si="49"/>
        <v>0</v>
      </c>
      <c r="F1046" s="9">
        <f t="shared" si="50"/>
        <v>0</v>
      </c>
    </row>
    <row r="1047" s="1" customFormat="1" spans="1:6">
      <c r="A1047" s="8" t="str">
        <f>"2020893525"</f>
        <v>2020893525</v>
      </c>
      <c r="B1047" s="9">
        <v>75</v>
      </c>
      <c r="C1047" s="9">
        <f t="shared" si="48"/>
        <v>22.5</v>
      </c>
      <c r="D1047" s="10">
        <v>88</v>
      </c>
      <c r="E1047" s="9">
        <f t="shared" si="49"/>
        <v>61.6</v>
      </c>
      <c r="F1047" s="9">
        <f t="shared" si="50"/>
        <v>84.1</v>
      </c>
    </row>
    <row r="1048" s="1" customFormat="1" spans="1:6">
      <c r="A1048" s="8" t="str">
        <f>"2020893526"</f>
        <v>2020893526</v>
      </c>
      <c r="B1048" s="9">
        <v>0</v>
      </c>
      <c r="C1048" s="9">
        <f t="shared" si="48"/>
        <v>0</v>
      </c>
      <c r="D1048" s="10">
        <v>0</v>
      </c>
      <c r="E1048" s="9">
        <f t="shared" si="49"/>
        <v>0</v>
      </c>
      <c r="F1048" s="9">
        <f t="shared" si="50"/>
        <v>0</v>
      </c>
    </row>
    <row r="1049" s="1" customFormat="1" spans="1:6">
      <c r="A1049" s="8" t="str">
        <f>"2020893527"</f>
        <v>2020893527</v>
      </c>
      <c r="B1049" s="9">
        <v>0</v>
      </c>
      <c r="C1049" s="9">
        <f t="shared" si="48"/>
        <v>0</v>
      </c>
      <c r="D1049" s="10">
        <v>0</v>
      </c>
      <c r="E1049" s="9">
        <f t="shared" si="49"/>
        <v>0</v>
      </c>
      <c r="F1049" s="9">
        <f t="shared" si="50"/>
        <v>0</v>
      </c>
    </row>
    <row r="1050" s="1" customFormat="1" spans="1:6">
      <c r="A1050" s="8" t="str">
        <f>"2020893528"</f>
        <v>2020893528</v>
      </c>
      <c r="B1050" s="9">
        <v>75</v>
      </c>
      <c r="C1050" s="9">
        <f t="shared" si="48"/>
        <v>22.5</v>
      </c>
      <c r="D1050" s="10">
        <v>56</v>
      </c>
      <c r="E1050" s="9">
        <f t="shared" si="49"/>
        <v>39.2</v>
      </c>
      <c r="F1050" s="9">
        <f t="shared" si="50"/>
        <v>61.7</v>
      </c>
    </row>
    <row r="1051" s="1" customFormat="1" spans="1:6">
      <c r="A1051" s="8" t="str">
        <f>"2020893529"</f>
        <v>2020893529</v>
      </c>
      <c r="B1051" s="9">
        <v>63</v>
      </c>
      <c r="C1051" s="9">
        <f t="shared" si="48"/>
        <v>18.9</v>
      </c>
      <c r="D1051" s="10">
        <v>84</v>
      </c>
      <c r="E1051" s="9">
        <f t="shared" si="49"/>
        <v>58.8</v>
      </c>
      <c r="F1051" s="9">
        <f t="shared" si="50"/>
        <v>77.7</v>
      </c>
    </row>
    <row r="1052" s="1" customFormat="1" spans="1:6">
      <c r="A1052" s="8" t="str">
        <f>"2020893530"</f>
        <v>2020893530</v>
      </c>
      <c r="B1052" s="9">
        <v>0</v>
      </c>
      <c r="C1052" s="9">
        <f t="shared" si="48"/>
        <v>0</v>
      </c>
      <c r="D1052" s="10">
        <v>0</v>
      </c>
      <c r="E1052" s="9">
        <f t="shared" si="49"/>
        <v>0</v>
      </c>
      <c r="F1052" s="9">
        <f t="shared" si="50"/>
        <v>0</v>
      </c>
    </row>
    <row r="1053" s="1" customFormat="1" spans="1:6">
      <c r="A1053" s="8" t="str">
        <f>"2020893601"</f>
        <v>2020893601</v>
      </c>
      <c r="B1053" s="9">
        <v>71</v>
      </c>
      <c r="C1053" s="9">
        <f t="shared" si="48"/>
        <v>21.3</v>
      </c>
      <c r="D1053" s="10">
        <v>77</v>
      </c>
      <c r="E1053" s="9">
        <f t="shared" si="49"/>
        <v>53.9</v>
      </c>
      <c r="F1053" s="9">
        <f t="shared" si="50"/>
        <v>75.2</v>
      </c>
    </row>
    <row r="1054" s="1" customFormat="1" spans="1:6">
      <c r="A1054" s="8" t="str">
        <f>"2020893602"</f>
        <v>2020893602</v>
      </c>
      <c r="B1054" s="9">
        <v>0</v>
      </c>
      <c r="C1054" s="9">
        <f t="shared" si="48"/>
        <v>0</v>
      </c>
      <c r="D1054" s="10">
        <v>0</v>
      </c>
      <c r="E1054" s="9">
        <f t="shared" si="49"/>
        <v>0</v>
      </c>
      <c r="F1054" s="9">
        <f t="shared" si="50"/>
        <v>0</v>
      </c>
    </row>
    <row r="1055" s="1" customFormat="1" spans="1:6">
      <c r="A1055" s="8" t="str">
        <f>"2020893603"</f>
        <v>2020893603</v>
      </c>
      <c r="B1055" s="9">
        <v>0</v>
      </c>
      <c r="C1055" s="9">
        <f t="shared" si="48"/>
        <v>0</v>
      </c>
      <c r="D1055" s="10">
        <v>0</v>
      </c>
      <c r="E1055" s="9">
        <f t="shared" si="49"/>
        <v>0</v>
      </c>
      <c r="F1055" s="9">
        <f t="shared" si="50"/>
        <v>0</v>
      </c>
    </row>
    <row r="1056" s="1" customFormat="1" spans="1:6">
      <c r="A1056" s="8" t="str">
        <f>"2020893604"</f>
        <v>2020893604</v>
      </c>
      <c r="B1056" s="9">
        <v>0</v>
      </c>
      <c r="C1056" s="9">
        <f t="shared" si="48"/>
        <v>0</v>
      </c>
      <c r="D1056" s="10">
        <v>0</v>
      </c>
      <c r="E1056" s="9">
        <f t="shared" si="49"/>
        <v>0</v>
      </c>
      <c r="F1056" s="9">
        <f t="shared" si="50"/>
        <v>0</v>
      </c>
    </row>
    <row r="1057" s="1" customFormat="1" spans="1:6">
      <c r="A1057" s="8" t="str">
        <f>"2020893605"</f>
        <v>2020893605</v>
      </c>
      <c r="B1057" s="9">
        <v>53</v>
      </c>
      <c r="C1057" s="9">
        <f t="shared" si="48"/>
        <v>15.9</v>
      </c>
      <c r="D1057" s="10">
        <v>89</v>
      </c>
      <c r="E1057" s="9">
        <f t="shared" si="49"/>
        <v>62.3</v>
      </c>
      <c r="F1057" s="9">
        <f t="shared" si="50"/>
        <v>78.2</v>
      </c>
    </row>
    <row r="1058" s="1" customFormat="1" spans="1:6">
      <c r="A1058" s="8" t="str">
        <f>"2020893606"</f>
        <v>2020893606</v>
      </c>
      <c r="B1058" s="9">
        <v>77</v>
      </c>
      <c r="C1058" s="9">
        <f t="shared" si="48"/>
        <v>23.1</v>
      </c>
      <c r="D1058" s="10">
        <v>68</v>
      </c>
      <c r="E1058" s="9">
        <f t="shared" si="49"/>
        <v>47.6</v>
      </c>
      <c r="F1058" s="9">
        <f t="shared" si="50"/>
        <v>70.7</v>
      </c>
    </row>
    <row r="1059" s="1" customFormat="1" spans="1:6">
      <c r="A1059" s="8" t="str">
        <f>"2020893607"</f>
        <v>2020893607</v>
      </c>
      <c r="B1059" s="9">
        <v>67</v>
      </c>
      <c r="C1059" s="9">
        <f t="shared" si="48"/>
        <v>20.1</v>
      </c>
      <c r="D1059" s="10">
        <v>71</v>
      </c>
      <c r="E1059" s="9">
        <f t="shared" si="49"/>
        <v>49.7</v>
      </c>
      <c r="F1059" s="9">
        <f t="shared" si="50"/>
        <v>69.8</v>
      </c>
    </row>
    <row r="1060" s="1" customFormat="1" spans="1:6">
      <c r="A1060" s="8" t="str">
        <f>"2020893608"</f>
        <v>2020893608</v>
      </c>
      <c r="B1060" s="9">
        <v>76</v>
      </c>
      <c r="C1060" s="9">
        <f t="shared" si="48"/>
        <v>22.8</v>
      </c>
      <c r="D1060" s="10">
        <v>76</v>
      </c>
      <c r="E1060" s="9">
        <f t="shared" si="49"/>
        <v>53.2</v>
      </c>
      <c r="F1060" s="9">
        <f t="shared" si="50"/>
        <v>76</v>
      </c>
    </row>
    <row r="1061" s="1" customFormat="1" spans="1:6">
      <c r="A1061" s="8" t="str">
        <f>"2020893609"</f>
        <v>2020893609</v>
      </c>
      <c r="B1061" s="9">
        <v>0</v>
      </c>
      <c r="C1061" s="9">
        <f t="shared" si="48"/>
        <v>0</v>
      </c>
      <c r="D1061" s="10">
        <v>0</v>
      </c>
      <c r="E1061" s="9">
        <f t="shared" si="49"/>
        <v>0</v>
      </c>
      <c r="F1061" s="9">
        <f t="shared" si="50"/>
        <v>0</v>
      </c>
    </row>
    <row r="1062" s="1" customFormat="1" spans="1:6">
      <c r="A1062" s="8" t="str">
        <f>"2020893610"</f>
        <v>2020893610</v>
      </c>
      <c r="B1062" s="9">
        <v>70</v>
      </c>
      <c r="C1062" s="9">
        <f t="shared" si="48"/>
        <v>21</v>
      </c>
      <c r="D1062" s="10">
        <v>76</v>
      </c>
      <c r="E1062" s="9">
        <f t="shared" si="49"/>
        <v>53.2</v>
      </c>
      <c r="F1062" s="9">
        <f t="shared" si="50"/>
        <v>74.2</v>
      </c>
    </row>
    <row r="1063" s="1" customFormat="1" spans="1:6">
      <c r="A1063" s="8" t="str">
        <f>"2020893611"</f>
        <v>2020893611</v>
      </c>
      <c r="B1063" s="9">
        <v>80</v>
      </c>
      <c r="C1063" s="9">
        <f t="shared" si="48"/>
        <v>24</v>
      </c>
      <c r="D1063" s="10">
        <v>61</v>
      </c>
      <c r="E1063" s="9">
        <f t="shared" si="49"/>
        <v>42.7</v>
      </c>
      <c r="F1063" s="9">
        <f t="shared" si="50"/>
        <v>66.7</v>
      </c>
    </row>
    <row r="1064" s="1" customFormat="1" spans="1:6">
      <c r="A1064" s="8" t="str">
        <f>"2020893612"</f>
        <v>2020893612</v>
      </c>
      <c r="B1064" s="9">
        <v>71</v>
      </c>
      <c r="C1064" s="9">
        <f t="shared" si="48"/>
        <v>21.3</v>
      </c>
      <c r="D1064" s="10">
        <v>59</v>
      </c>
      <c r="E1064" s="9">
        <f t="shared" si="49"/>
        <v>41.3</v>
      </c>
      <c r="F1064" s="9">
        <f t="shared" si="50"/>
        <v>62.6</v>
      </c>
    </row>
    <row r="1065" s="1" customFormat="1" spans="1:6">
      <c r="A1065" s="8" t="str">
        <f>"2020893613"</f>
        <v>2020893613</v>
      </c>
      <c r="B1065" s="9">
        <v>75</v>
      </c>
      <c r="C1065" s="9">
        <f t="shared" si="48"/>
        <v>22.5</v>
      </c>
      <c r="D1065" s="10">
        <v>67</v>
      </c>
      <c r="E1065" s="9">
        <f t="shared" si="49"/>
        <v>46.9</v>
      </c>
      <c r="F1065" s="9">
        <f t="shared" si="50"/>
        <v>69.4</v>
      </c>
    </row>
    <row r="1066" s="1" customFormat="1" spans="1:6">
      <c r="A1066" s="8" t="str">
        <f>"2020893614"</f>
        <v>2020893614</v>
      </c>
      <c r="B1066" s="9">
        <v>67</v>
      </c>
      <c r="C1066" s="9">
        <f t="shared" si="48"/>
        <v>20.1</v>
      </c>
      <c r="D1066" s="10">
        <v>74</v>
      </c>
      <c r="E1066" s="9">
        <f t="shared" si="49"/>
        <v>51.8</v>
      </c>
      <c r="F1066" s="9">
        <f t="shared" si="50"/>
        <v>71.9</v>
      </c>
    </row>
    <row r="1067" s="1" customFormat="1" spans="1:6">
      <c r="A1067" s="8" t="str">
        <f>"2020893615"</f>
        <v>2020893615</v>
      </c>
      <c r="B1067" s="9">
        <v>71</v>
      </c>
      <c r="C1067" s="9">
        <f t="shared" si="48"/>
        <v>21.3</v>
      </c>
      <c r="D1067" s="10">
        <v>74</v>
      </c>
      <c r="E1067" s="9">
        <f t="shared" si="49"/>
        <v>51.8</v>
      </c>
      <c r="F1067" s="9">
        <f t="shared" si="50"/>
        <v>73.1</v>
      </c>
    </row>
    <row r="1068" s="1" customFormat="1" spans="1:6">
      <c r="A1068" s="8" t="str">
        <f>"2020893616"</f>
        <v>2020893616</v>
      </c>
      <c r="B1068" s="9">
        <v>0</v>
      </c>
      <c r="C1068" s="9">
        <f t="shared" si="48"/>
        <v>0</v>
      </c>
      <c r="D1068" s="10">
        <v>0</v>
      </c>
      <c r="E1068" s="9">
        <f t="shared" si="49"/>
        <v>0</v>
      </c>
      <c r="F1068" s="9">
        <f t="shared" si="50"/>
        <v>0</v>
      </c>
    </row>
    <row r="1069" s="1" customFormat="1" spans="1:6">
      <c r="A1069" s="8" t="str">
        <f>"2020893617"</f>
        <v>2020893617</v>
      </c>
      <c r="B1069" s="9">
        <v>77</v>
      </c>
      <c r="C1069" s="9">
        <f t="shared" si="48"/>
        <v>23.1</v>
      </c>
      <c r="D1069" s="10">
        <v>60</v>
      </c>
      <c r="E1069" s="9">
        <f t="shared" si="49"/>
        <v>42</v>
      </c>
      <c r="F1069" s="9">
        <f t="shared" si="50"/>
        <v>65.1</v>
      </c>
    </row>
    <row r="1070" s="1" customFormat="1" spans="1:6">
      <c r="A1070" s="8" t="str">
        <f>"2020893618"</f>
        <v>2020893618</v>
      </c>
      <c r="B1070" s="9">
        <v>77</v>
      </c>
      <c r="C1070" s="9">
        <f t="shared" si="48"/>
        <v>23.1</v>
      </c>
      <c r="D1070" s="10">
        <v>80</v>
      </c>
      <c r="E1070" s="9">
        <f t="shared" si="49"/>
        <v>56</v>
      </c>
      <c r="F1070" s="9">
        <f t="shared" si="50"/>
        <v>79.1</v>
      </c>
    </row>
    <row r="1071" s="1" customFormat="1" spans="1:6">
      <c r="A1071" s="8" t="str">
        <f>"2020893619"</f>
        <v>2020893619</v>
      </c>
      <c r="B1071" s="9">
        <v>60</v>
      </c>
      <c r="C1071" s="9">
        <f t="shared" si="48"/>
        <v>18</v>
      </c>
      <c r="D1071" s="10">
        <v>66</v>
      </c>
      <c r="E1071" s="9">
        <f t="shared" si="49"/>
        <v>46.2</v>
      </c>
      <c r="F1071" s="9">
        <f t="shared" si="50"/>
        <v>64.2</v>
      </c>
    </row>
    <row r="1072" s="1" customFormat="1" spans="1:6">
      <c r="A1072" s="8" t="str">
        <f>"2020893620"</f>
        <v>2020893620</v>
      </c>
      <c r="B1072" s="9">
        <v>73</v>
      </c>
      <c r="C1072" s="9">
        <f t="shared" si="48"/>
        <v>21.9</v>
      </c>
      <c r="D1072" s="10">
        <v>88</v>
      </c>
      <c r="E1072" s="9">
        <f t="shared" si="49"/>
        <v>61.6</v>
      </c>
      <c r="F1072" s="9">
        <f t="shared" si="50"/>
        <v>83.5</v>
      </c>
    </row>
    <row r="1073" s="1" customFormat="1" spans="1:6">
      <c r="A1073" s="8" t="str">
        <f>"2020893621"</f>
        <v>2020893621</v>
      </c>
      <c r="B1073" s="9">
        <v>68</v>
      </c>
      <c r="C1073" s="9">
        <f t="shared" si="48"/>
        <v>20.4</v>
      </c>
      <c r="D1073" s="10">
        <v>74</v>
      </c>
      <c r="E1073" s="9">
        <f t="shared" si="49"/>
        <v>51.8</v>
      </c>
      <c r="F1073" s="9">
        <f t="shared" si="50"/>
        <v>72.2</v>
      </c>
    </row>
    <row r="1074" s="1" customFormat="1" spans="1:6">
      <c r="A1074" s="8" t="str">
        <f>"2020893622"</f>
        <v>2020893622</v>
      </c>
      <c r="B1074" s="9">
        <v>59</v>
      </c>
      <c r="C1074" s="9">
        <f t="shared" si="48"/>
        <v>17.7</v>
      </c>
      <c r="D1074" s="10">
        <v>86</v>
      </c>
      <c r="E1074" s="9">
        <f t="shared" si="49"/>
        <v>60.2</v>
      </c>
      <c r="F1074" s="9">
        <f t="shared" si="50"/>
        <v>77.9</v>
      </c>
    </row>
    <row r="1075" s="1" customFormat="1" spans="1:6">
      <c r="A1075" s="8" t="str">
        <f>"2020893623"</f>
        <v>2020893623</v>
      </c>
      <c r="B1075" s="9">
        <v>0</v>
      </c>
      <c r="C1075" s="9">
        <f t="shared" si="48"/>
        <v>0</v>
      </c>
      <c r="D1075" s="10">
        <v>0</v>
      </c>
      <c r="E1075" s="9">
        <f t="shared" si="49"/>
        <v>0</v>
      </c>
      <c r="F1075" s="9">
        <f t="shared" si="50"/>
        <v>0</v>
      </c>
    </row>
    <row r="1076" s="1" customFormat="1" spans="1:6">
      <c r="A1076" s="8" t="str">
        <f>"2020893624"</f>
        <v>2020893624</v>
      </c>
      <c r="B1076" s="9">
        <v>61</v>
      </c>
      <c r="C1076" s="9">
        <f t="shared" si="48"/>
        <v>18.3</v>
      </c>
      <c r="D1076" s="10">
        <v>84</v>
      </c>
      <c r="E1076" s="9">
        <f t="shared" si="49"/>
        <v>58.8</v>
      </c>
      <c r="F1076" s="9">
        <f t="shared" si="50"/>
        <v>77.1</v>
      </c>
    </row>
    <row r="1077" s="1" customFormat="1" spans="1:6">
      <c r="A1077" s="8" t="str">
        <f>"2020893625"</f>
        <v>2020893625</v>
      </c>
      <c r="B1077" s="9">
        <v>73</v>
      </c>
      <c r="C1077" s="9">
        <f t="shared" si="48"/>
        <v>21.9</v>
      </c>
      <c r="D1077" s="10">
        <v>85</v>
      </c>
      <c r="E1077" s="9">
        <f t="shared" si="49"/>
        <v>59.5</v>
      </c>
      <c r="F1077" s="9">
        <f t="shared" si="50"/>
        <v>81.4</v>
      </c>
    </row>
    <row r="1078" s="1" customFormat="1" spans="1:6">
      <c r="A1078" s="8" t="str">
        <f>"2020893626"</f>
        <v>2020893626</v>
      </c>
      <c r="B1078" s="9">
        <v>71</v>
      </c>
      <c r="C1078" s="9">
        <f t="shared" si="48"/>
        <v>21.3</v>
      </c>
      <c r="D1078" s="10">
        <v>81</v>
      </c>
      <c r="E1078" s="9">
        <f t="shared" si="49"/>
        <v>56.7</v>
      </c>
      <c r="F1078" s="9">
        <f t="shared" si="50"/>
        <v>78</v>
      </c>
    </row>
    <row r="1079" s="1" customFormat="1" spans="1:6">
      <c r="A1079" s="8" t="str">
        <f>"2020893627"</f>
        <v>2020893627</v>
      </c>
      <c r="B1079" s="9">
        <v>0</v>
      </c>
      <c r="C1079" s="9">
        <f t="shared" si="48"/>
        <v>0</v>
      </c>
      <c r="D1079" s="10">
        <v>0</v>
      </c>
      <c r="E1079" s="9">
        <f t="shared" si="49"/>
        <v>0</v>
      </c>
      <c r="F1079" s="9">
        <f t="shared" si="50"/>
        <v>0</v>
      </c>
    </row>
    <row r="1080" s="1" customFormat="1" spans="1:6">
      <c r="A1080" s="8" t="str">
        <f>"2020893628"</f>
        <v>2020893628</v>
      </c>
      <c r="B1080" s="9">
        <v>82</v>
      </c>
      <c r="C1080" s="9">
        <f t="shared" si="48"/>
        <v>24.6</v>
      </c>
      <c r="D1080" s="10">
        <v>85</v>
      </c>
      <c r="E1080" s="9">
        <f t="shared" si="49"/>
        <v>59.5</v>
      </c>
      <c r="F1080" s="9">
        <f t="shared" si="50"/>
        <v>84.1</v>
      </c>
    </row>
    <row r="1081" s="1" customFormat="1" spans="1:6">
      <c r="A1081" s="8" t="str">
        <f>"2020893629"</f>
        <v>2020893629</v>
      </c>
      <c r="B1081" s="9">
        <v>0</v>
      </c>
      <c r="C1081" s="9">
        <f t="shared" si="48"/>
        <v>0</v>
      </c>
      <c r="D1081" s="10">
        <v>0</v>
      </c>
      <c r="E1081" s="9">
        <f t="shared" si="49"/>
        <v>0</v>
      </c>
      <c r="F1081" s="9">
        <f t="shared" si="50"/>
        <v>0</v>
      </c>
    </row>
    <row r="1082" s="1" customFormat="1" spans="1:6">
      <c r="A1082" s="8" t="str">
        <f>"2020893630"</f>
        <v>2020893630</v>
      </c>
      <c r="B1082" s="9">
        <v>78</v>
      </c>
      <c r="C1082" s="9">
        <f t="shared" si="48"/>
        <v>23.4</v>
      </c>
      <c r="D1082" s="10">
        <v>84</v>
      </c>
      <c r="E1082" s="9">
        <f t="shared" si="49"/>
        <v>58.8</v>
      </c>
      <c r="F1082" s="9">
        <f t="shared" si="50"/>
        <v>82.2</v>
      </c>
    </row>
    <row r="1083" s="1" customFormat="1" spans="1:6">
      <c r="A1083" s="8" t="str">
        <f>"2020893701"</f>
        <v>2020893701</v>
      </c>
      <c r="B1083" s="9">
        <v>67</v>
      </c>
      <c r="C1083" s="9">
        <f t="shared" si="48"/>
        <v>20.1</v>
      </c>
      <c r="D1083" s="10">
        <v>85</v>
      </c>
      <c r="E1083" s="9">
        <f t="shared" si="49"/>
        <v>59.5</v>
      </c>
      <c r="F1083" s="9">
        <f t="shared" si="50"/>
        <v>79.6</v>
      </c>
    </row>
    <row r="1084" s="1" customFormat="1" spans="1:6">
      <c r="A1084" s="8" t="str">
        <f>"2020893702"</f>
        <v>2020893702</v>
      </c>
      <c r="B1084" s="9">
        <v>74</v>
      </c>
      <c r="C1084" s="9">
        <f t="shared" si="48"/>
        <v>22.2</v>
      </c>
      <c r="D1084" s="10">
        <v>74</v>
      </c>
      <c r="E1084" s="9">
        <f t="shared" si="49"/>
        <v>51.8</v>
      </c>
      <c r="F1084" s="9">
        <f t="shared" si="50"/>
        <v>74</v>
      </c>
    </row>
    <row r="1085" s="1" customFormat="1" spans="1:6">
      <c r="A1085" s="8" t="str">
        <f>"2020893703"</f>
        <v>2020893703</v>
      </c>
      <c r="B1085" s="9">
        <v>57</v>
      </c>
      <c r="C1085" s="9">
        <f t="shared" si="48"/>
        <v>17.1</v>
      </c>
      <c r="D1085" s="10">
        <v>78</v>
      </c>
      <c r="E1085" s="9">
        <f t="shared" si="49"/>
        <v>54.6</v>
      </c>
      <c r="F1085" s="9">
        <f t="shared" si="50"/>
        <v>71.7</v>
      </c>
    </row>
    <row r="1086" s="1" customFormat="1" spans="1:6">
      <c r="A1086" s="8" t="str">
        <f>"2020893704"</f>
        <v>2020893704</v>
      </c>
      <c r="B1086" s="9">
        <v>64</v>
      </c>
      <c r="C1086" s="9">
        <f t="shared" si="48"/>
        <v>19.2</v>
      </c>
      <c r="D1086" s="10">
        <v>81</v>
      </c>
      <c r="E1086" s="9">
        <f t="shared" si="49"/>
        <v>56.7</v>
      </c>
      <c r="F1086" s="9">
        <f t="shared" si="50"/>
        <v>75.9</v>
      </c>
    </row>
    <row r="1087" s="1" customFormat="1" spans="1:6">
      <c r="A1087" s="8" t="str">
        <f>"2020893705"</f>
        <v>2020893705</v>
      </c>
      <c r="B1087" s="9">
        <v>72</v>
      </c>
      <c r="C1087" s="9">
        <f t="shared" si="48"/>
        <v>21.6</v>
      </c>
      <c r="D1087" s="10">
        <v>73</v>
      </c>
      <c r="E1087" s="9">
        <f t="shared" si="49"/>
        <v>51.1</v>
      </c>
      <c r="F1087" s="9">
        <f t="shared" si="50"/>
        <v>72.7</v>
      </c>
    </row>
    <row r="1088" s="1" customFormat="1" spans="1:6">
      <c r="A1088" s="8" t="str">
        <f>"2020893706"</f>
        <v>2020893706</v>
      </c>
      <c r="B1088" s="9">
        <v>75</v>
      </c>
      <c r="C1088" s="9">
        <f t="shared" si="48"/>
        <v>22.5</v>
      </c>
      <c r="D1088" s="10">
        <v>74</v>
      </c>
      <c r="E1088" s="9">
        <f t="shared" si="49"/>
        <v>51.8</v>
      </c>
      <c r="F1088" s="9">
        <f t="shared" si="50"/>
        <v>74.3</v>
      </c>
    </row>
    <row r="1089" s="1" customFormat="1" spans="1:6">
      <c r="A1089" s="8" t="str">
        <f>"2020893707"</f>
        <v>2020893707</v>
      </c>
      <c r="B1089" s="9">
        <v>76</v>
      </c>
      <c r="C1089" s="9">
        <f t="shared" si="48"/>
        <v>22.8</v>
      </c>
      <c r="D1089" s="10">
        <v>79</v>
      </c>
      <c r="E1089" s="9">
        <f t="shared" si="49"/>
        <v>55.3</v>
      </c>
      <c r="F1089" s="9">
        <f t="shared" si="50"/>
        <v>78.1</v>
      </c>
    </row>
    <row r="1090" s="1" customFormat="1" spans="1:6">
      <c r="A1090" s="8" t="str">
        <f>"2020893708"</f>
        <v>2020893708</v>
      </c>
      <c r="B1090" s="9">
        <v>72</v>
      </c>
      <c r="C1090" s="9">
        <f t="shared" si="48"/>
        <v>21.6</v>
      </c>
      <c r="D1090" s="10">
        <v>80</v>
      </c>
      <c r="E1090" s="9">
        <f t="shared" si="49"/>
        <v>56</v>
      </c>
      <c r="F1090" s="9">
        <f t="shared" si="50"/>
        <v>77.6</v>
      </c>
    </row>
    <row r="1091" s="1" customFormat="1" spans="1:6">
      <c r="A1091" s="8" t="str">
        <f>"2020893709"</f>
        <v>2020893709</v>
      </c>
      <c r="B1091" s="9">
        <v>79</v>
      </c>
      <c r="C1091" s="9">
        <f t="shared" ref="C1091:C1154" si="51">B1091*0.3</f>
        <v>23.7</v>
      </c>
      <c r="D1091" s="10">
        <v>85</v>
      </c>
      <c r="E1091" s="9">
        <f t="shared" ref="E1091:E1154" si="52">D1091*0.7</f>
        <v>59.5</v>
      </c>
      <c r="F1091" s="9">
        <f t="shared" ref="F1091:F1154" si="53">C1091+E1091</f>
        <v>83.2</v>
      </c>
    </row>
    <row r="1092" s="1" customFormat="1" spans="1:6">
      <c r="A1092" s="8" t="str">
        <f>"2020893710"</f>
        <v>2020893710</v>
      </c>
      <c r="B1092" s="9">
        <v>77</v>
      </c>
      <c r="C1092" s="9">
        <f t="shared" si="51"/>
        <v>23.1</v>
      </c>
      <c r="D1092" s="10">
        <v>73</v>
      </c>
      <c r="E1092" s="9">
        <f t="shared" si="52"/>
        <v>51.1</v>
      </c>
      <c r="F1092" s="9">
        <f t="shared" si="53"/>
        <v>74.2</v>
      </c>
    </row>
    <row r="1093" s="1" customFormat="1" spans="1:6">
      <c r="A1093" s="8" t="str">
        <f>"2020893711"</f>
        <v>2020893711</v>
      </c>
      <c r="B1093" s="9">
        <v>78</v>
      </c>
      <c r="C1093" s="9">
        <f t="shared" si="51"/>
        <v>23.4</v>
      </c>
      <c r="D1093" s="10">
        <v>75</v>
      </c>
      <c r="E1093" s="9">
        <f t="shared" si="52"/>
        <v>52.5</v>
      </c>
      <c r="F1093" s="9">
        <f t="shared" si="53"/>
        <v>75.9</v>
      </c>
    </row>
    <row r="1094" s="1" customFormat="1" spans="1:6">
      <c r="A1094" s="8" t="str">
        <f>"2020893712"</f>
        <v>2020893712</v>
      </c>
      <c r="B1094" s="9">
        <v>57</v>
      </c>
      <c r="C1094" s="9">
        <f t="shared" si="51"/>
        <v>17.1</v>
      </c>
      <c r="D1094" s="10">
        <v>73</v>
      </c>
      <c r="E1094" s="9">
        <f t="shared" si="52"/>
        <v>51.1</v>
      </c>
      <c r="F1094" s="9">
        <f t="shared" si="53"/>
        <v>68.2</v>
      </c>
    </row>
    <row r="1095" s="1" customFormat="1" spans="1:6">
      <c r="A1095" s="8" t="str">
        <f>"2020893713"</f>
        <v>2020893713</v>
      </c>
      <c r="B1095" s="9">
        <v>72</v>
      </c>
      <c r="C1095" s="9">
        <f t="shared" si="51"/>
        <v>21.6</v>
      </c>
      <c r="D1095" s="10">
        <v>75</v>
      </c>
      <c r="E1095" s="9">
        <f t="shared" si="52"/>
        <v>52.5</v>
      </c>
      <c r="F1095" s="9">
        <f t="shared" si="53"/>
        <v>74.1</v>
      </c>
    </row>
    <row r="1096" s="1" customFormat="1" spans="1:6">
      <c r="A1096" s="8" t="str">
        <f>"2020893714"</f>
        <v>2020893714</v>
      </c>
      <c r="B1096" s="9">
        <v>60</v>
      </c>
      <c r="C1096" s="9">
        <f t="shared" si="51"/>
        <v>18</v>
      </c>
      <c r="D1096" s="10">
        <v>74</v>
      </c>
      <c r="E1096" s="9">
        <f t="shared" si="52"/>
        <v>51.8</v>
      </c>
      <c r="F1096" s="9">
        <f t="shared" si="53"/>
        <v>69.8</v>
      </c>
    </row>
    <row r="1097" s="1" customFormat="1" spans="1:6">
      <c r="A1097" s="8" t="str">
        <f>"2020893715"</f>
        <v>2020893715</v>
      </c>
      <c r="B1097" s="9">
        <v>65</v>
      </c>
      <c r="C1097" s="9">
        <f t="shared" si="51"/>
        <v>19.5</v>
      </c>
      <c r="D1097" s="10">
        <v>76</v>
      </c>
      <c r="E1097" s="9">
        <f t="shared" si="52"/>
        <v>53.2</v>
      </c>
      <c r="F1097" s="9">
        <f t="shared" si="53"/>
        <v>72.7</v>
      </c>
    </row>
    <row r="1098" s="1" customFormat="1" spans="1:6">
      <c r="A1098" s="8" t="str">
        <f>"2020893716"</f>
        <v>2020893716</v>
      </c>
      <c r="B1098" s="9">
        <v>63</v>
      </c>
      <c r="C1098" s="9">
        <f t="shared" si="51"/>
        <v>18.9</v>
      </c>
      <c r="D1098" s="10">
        <v>76</v>
      </c>
      <c r="E1098" s="9">
        <f t="shared" si="52"/>
        <v>53.2</v>
      </c>
      <c r="F1098" s="9">
        <f t="shared" si="53"/>
        <v>72.1</v>
      </c>
    </row>
    <row r="1099" s="1" customFormat="1" spans="1:6">
      <c r="A1099" s="8" t="str">
        <f>"2020893717"</f>
        <v>2020893717</v>
      </c>
      <c r="B1099" s="9">
        <v>64</v>
      </c>
      <c r="C1099" s="9">
        <f t="shared" si="51"/>
        <v>19.2</v>
      </c>
      <c r="D1099" s="10">
        <v>55</v>
      </c>
      <c r="E1099" s="9">
        <f t="shared" si="52"/>
        <v>38.5</v>
      </c>
      <c r="F1099" s="9">
        <f t="shared" si="53"/>
        <v>57.7</v>
      </c>
    </row>
    <row r="1100" s="1" customFormat="1" spans="1:6">
      <c r="A1100" s="8" t="str">
        <f>"2020893718"</f>
        <v>2020893718</v>
      </c>
      <c r="B1100" s="9">
        <v>63</v>
      </c>
      <c r="C1100" s="9">
        <f t="shared" si="51"/>
        <v>18.9</v>
      </c>
      <c r="D1100" s="10">
        <v>81</v>
      </c>
      <c r="E1100" s="9">
        <f t="shared" si="52"/>
        <v>56.7</v>
      </c>
      <c r="F1100" s="9">
        <f t="shared" si="53"/>
        <v>75.6</v>
      </c>
    </row>
    <row r="1101" s="1" customFormat="1" spans="1:6">
      <c r="A1101" s="8" t="str">
        <f>"2020893719"</f>
        <v>2020893719</v>
      </c>
      <c r="B1101" s="9">
        <v>52</v>
      </c>
      <c r="C1101" s="9">
        <f t="shared" si="51"/>
        <v>15.6</v>
      </c>
      <c r="D1101" s="10">
        <v>83</v>
      </c>
      <c r="E1101" s="9">
        <f t="shared" si="52"/>
        <v>58.1</v>
      </c>
      <c r="F1101" s="9">
        <f t="shared" si="53"/>
        <v>73.7</v>
      </c>
    </row>
    <row r="1102" s="1" customFormat="1" spans="1:6">
      <c r="A1102" s="8" t="str">
        <f>"2020893720"</f>
        <v>2020893720</v>
      </c>
      <c r="B1102" s="9">
        <v>0</v>
      </c>
      <c r="C1102" s="9">
        <f t="shared" si="51"/>
        <v>0</v>
      </c>
      <c r="D1102" s="10">
        <v>0</v>
      </c>
      <c r="E1102" s="9">
        <f t="shared" si="52"/>
        <v>0</v>
      </c>
      <c r="F1102" s="9">
        <f t="shared" si="53"/>
        <v>0</v>
      </c>
    </row>
    <row r="1103" s="1" customFormat="1" spans="1:6">
      <c r="A1103" s="8" t="str">
        <f>"2020893721"</f>
        <v>2020893721</v>
      </c>
      <c r="B1103" s="9">
        <v>0</v>
      </c>
      <c r="C1103" s="9">
        <f t="shared" si="51"/>
        <v>0</v>
      </c>
      <c r="D1103" s="10">
        <v>0</v>
      </c>
      <c r="E1103" s="9">
        <f t="shared" si="52"/>
        <v>0</v>
      </c>
      <c r="F1103" s="9">
        <f t="shared" si="53"/>
        <v>0</v>
      </c>
    </row>
    <row r="1104" s="1" customFormat="1" spans="1:6">
      <c r="A1104" s="8" t="str">
        <f>"2020893722"</f>
        <v>2020893722</v>
      </c>
      <c r="B1104" s="9">
        <v>76</v>
      </c>
      <c r="C1104" s="9">
        <f t="shared" si="51"/>
        <v>22.8</v>
      </c>
      <c r="D1104" s="10">
        <v>89</v>
      </c>
      <c r="E1104" s="9">
        <f t="shared" si="52"/>
        <v>62.3</v>
      </c>
      <c r="F1104" s="9">
        <f t="shared" si="53"/>
        <v>85.1</v>
      </c>
    </row>
    <row r="1105" s="1" customFormat="1" spans="1:6">
      <c r="A1105" s="8" t="str">
        <f>"2020893723"</f>
        <v>2020893723</v>
      </c>
      <c r="B1105" s="9">
        <v>44</v>
      </c>
      <c r="C1105" s="9">
        <f t="shared" si="51"/>
        <v>13.2</v>
      </c>
      <c r="D1105" s="10">
        <v>93</v>
      </c>
      <c r="E1105" s="9">
        <f t="shared" si="52"/>
        <v>65.1</v>
      </c>
      <c r="F1105" s="9">
        <f t="shared" si="53"/>
        <v>78.3</v>
      </c>
    </row>
    <row r="1106" s="1" customFormat="1" spans="1:6">
      <c r="A1106" s="8" t="str">
        <f>"2020893724"</f>
        <v>2020893724</v>
      </c>
      <c r="B1106" s="9">
        <v>68</v>
      </c>
      <c r="C1106" s="9">
        <f t="shared" si="51"/>
        <v>20.4</v>
      </c>
      <c r="D1106" s="10">
        <v>88</v>
      </c>
      <c r="E1106" s="9">
        <f t="shared" si="52"/>
        <v>61.6</v>
      </c>
      <c r="F1106" s="9">
        <f t="shared" si="53"/>
        <v>82</v>
      </c>
    </row>
    <row r="1107" s="1" customFormat="1" spans="1:6">
      <c r="A1107" s="8" t="str">
        <f>"2020893725"</f>
        <v>2020893725</v>
      </c>
      <c r="B1107" s="9">
        <v>68</v>
      </c>
      <c r="C1107" s="9">
        <f t="shared" si="51"/>
        <v>20.4</v>
      </c>
      <c r="D1107" s="10">
        <v>91</v>
      </c>
      <c r="E1107" s="9">
        <f t="shared" si="52"/>
        <v>63.7</v>
      </c>
      <c r="F1107" s="9">
        <f t="shared" si="53"/>
        <v>84.1</v>
      </c>
    </row>
    <row r="1108" s="1" customFormat="1" spans="1:6">
      <c r="A1108" s="8" t="str">
        <f>"2020893726"</f>
        <v>2020893726</v>
      </c>
      <c r="B1108" s="9">
        <v>0</v>
      </c>
      <c r="C1108" s="9">
        <f t="shared" si="51"/>
        <v>0</v>
      </c>
      <c r="D1108" s="10">
        <v>0</v>
      </c>
      <c r="E1108" s="9">
        <f t="shared" si="52"/>
        <v>0</v>
      </c>
      <c r="F1108" s="9">
        <f t="shared" si="53"/>
        <v>0</v>
      </c>
    </row>
    <row r="1109" s="1" customFormat="1" spans="1:6">
      <c r="A1109" s="8" t="str">
        <f>"2020893727"</f>
        <v>2020893727</v>
      </c>
      <c r="B1109" s="9">
        <v>57</v>
      </c>
      <c r="C1109" s="9">
        <f t="shared" si="51"/>
        <v>17.1</v>
      </c>
      <c r="D1109" s="10">
        <v>66</v>
      </c>
      <c r="E1109" s="9">
        <f t="shared" si="52"/>
        <v>46.2</v>
      </c>
      <c r="F1109" s="9">
        <f t="shared" si="53"/>
        <v>63.3</v>
      </c>
    </row>
    <row r="1110" s="1" customFormat="1" spans="1:6">
      <c r="A1110" s="8" t="str">
        <f>"2020893728"</f>
        <v>2020893728</v>
      </c>
      <c r="B1110" s="9">
        <v>0</v>
      </c>
      <c r="C1110" s="9">
        <f t="shared" si="51"/>
        <v>0</v>
      </c>
      <c r="D1110" s="10">
        <v>0</v>
      </c>
      <c r="E1110" s="9">
        <f t="shared" si="52"/>
        <v>0</v>
      </c>
      <c r="F1110" s="9">
        <f t="shared" si="53"/>
        <v>0</v>
      </c>
    </row>
    <row r="1111" s="1" customFormat="1" spans="1:6">
      <c r="A1111" s="8" t="str">
        <f>"2020893729"</f>
        <v>2020893729</v>
      </c>
      <c r="B1111" s="9">
        <v>69</v>
      </c>
      <c r="C1111" s="9">
        <f t="shared" si="51"/>
        <v>20.7</v>
      </c>
      <c r="D1111" s="10">
        <v>64</v>
      </c>
      <c r="E1111" s="9">
        <f t="shared" si="52"/>
        <v>44.8</v>
      </c>
      <c r="F1111" s="9">
        <f t="shared" si="53"/>
        <v>65.5</v>
      </c>
    </row>
    <row r="1112" s="1" customFormat="1" spans="1:6">
      <c r="A1112" s="8" t="str">
        <f>"2020893730"</f>
        <v>2020893730</v>
      </c>
      <c r="B1112" s="9">
        <v>61</v>
      </c>
      <c r="C1112" s="9">
        <f t="shared" si="51"/>
        <v>18.3</v>
      </c>
      <c r="D1112" s="10">
        <v>67</v>
      </c>
      <c r="E1112" s="9">
        <f t="shared" si="52"/>
        <v>46.9</v>
      </c>
      <c r="F1112" s="9">
        <f t="shared" si="53"/>
        <v>65.2</v>
      </c>
    </row>
    <row r="1113" s="1" customFormat="1" spans="1:6">
      <c r="A1113" s="8" t="str">
        <f>"2020893801"</f>
        <v>2020893801</v>
      </c>
      <c r="B1113" s="9">
        <v>72</v>
      </c>
      <c r="C1113" s="9">
        <f t="shared" si="51"/>
        <v>21.6</v>
      </c>
      <c r="D1113" s="10">
        <v>74</v>
      </c>
      <c r="E1113" s="9">
        <f t="shared" si="52"/>
        <v>51.8</v>
      </c>
      <c r="F1113" s="9">
        <f t="shared" si="53"/>
        <v>73.4</v>
      </c>
    </row>
    <row r="1114" s="1" customFormat="1" spans="1:6">
      <c r="A1114" s="8" t="str">
        <f>"2020893802"</f>
        <v>2020893802</v>
      </c>
      <c r="B1114" s="9">
        <v>0</v>
      </c>
      <c r="C1114" s="9">
        <f t="shared" si="51"/>
        <v>0</v>
      </c>
      <c r="D1114" s="10">
        <v>0</v>
      </c>
      <c r="E1114" s="9">
        <f t="shared" si="52"/>
        <v>0</v>
      </c>
      <c r="F1114" s="9">
        <f t="shared" si="53"/>
        <v>0</v>
      </c>
    </row>
    <row r="1115" s="1" customFormat="1" spans="1:6">
      <c r="A1115" s="8" t="str">
        <f>"2020893803"</f>
        <v>2020893803</v>
      </c>
      <c r="B1115" s="9">
        <v>56</v>
      </c>
      <c r="C1115" s="9">
        <f t="shared" si="51"/>
        <v>16.8</v>
      </c>
      <c r="D1115" s="10">
        <v>70</v>
      </c>
      <c r="E1115" s="9">
        <f t="shared" si="52"/>
        <v>49</v>
      </c>
      <c r="F1115" s="9">
        <f t="shared" si="53"/>
        <v>65.8</v>
      </c>
    </row>
    <row r="1116" s="1" customFormat="1" spans="1:6">
      <c r="A1116" s="8" t="str">
        <f>"2020893804"</f>
        <v>2020893804</v>
      </c>
      <c r="B1116" s="9">
        <v>0</v>
      </c>
      <c r="C1116" s="9">
        <f t="shared" si="51"/>
        <v>0</v>
      </c>
      <c r="D1116" s="10">
        <v>0</v>
      </c>
      <c r="E1116" s="9">
        <f t="shared" si="52"/>
        <v>0</v>
      </c>
      <c r="F1116" s="9">
        <f t="shared" si="53"/>
        <v>0</v>
      </c>
    </row>
    <row r="1117" s="1" customFormat="1" spans="1:6">
      <c r="A1117" s="8" t="str">
        <f>"2020893805"</f>
        <v>2020893805</v>
      </c>
      <c r="B1117" s="9">
        <v>59</v>
      </c>
      <c r="C1117" s="9">
        <f t="shared" si="51"/>
        <v>17.7</v>
      </c>
      <c r="D1117" s="10">
        <v>73</v>
      </c>
      <c r="E1117" s="9">
        <f t="shared" si="52"/>
        <v>51.1</v>
      </c>
      <c r="F1117" s="9">
        <f t="shared" si="53"/>
        <v>68.8</v>
      </c>
    </row>
    <row r="1118" s="1" customFormat="1" spans="1:6">
      <c r="A1118" s="8" t="str">
        <f>"2020893806"</f>
        <v>2020893806</v>
      </c>
      <c r="B1118" s="9">
        <v>60</v>
      </c>
      <c r="C1118" s="9">
        <f t="shared" si="51"/>
        <v>18</v>
      </c>
      <c r="D1118" s="10">
        <v>77</v>
      </c>
      <c r="E1118" s="9">
        <f t="shared" si="52"/>
        <v>53.9</v>
      </c>
      <c r="F1118" s="9">
        <f t="shared" si="53"/>
        <v>71.9</v>
      </c>
    </row>
    <row r="1119" s="1" customFormat="1" spans="1:6">
      <c r="A1119" s="8" t="str">
        <f>"2020893807"</f>
        <v>2020893807</v>
      </c>
      <c r="B1119" s="9">
        <v>51</v>
      </c>
      <c r="C1119" s="9">
        <f t="shared" si="51"/>
        <v>15.3</v>
      </c>
      <c r="D1119" s="10">
        <v>61</v>
      </c>
      <c r="E1119" s="9">
        <f t="shared" si="52"/>
        <v>42.7</v>
      </c>
      <c r="F1119" s="9">
        <f t="shared" si="53"/>
        <v>58</v>
      </c>
    </row>
    <row r="1120" s="1" customFormat="1" spans="1:6">
      <c r="A1120" s="8" t="str">
        <f>"2020893808"</f>
        <v>2020893808</v>
      </c>
      <c r="B1120" s="9">
        <v>65</v>
      </c>
      <c r="C1120" s="9">
        <f t="shared" si="51"/>
        <v>19.5</v>
      </c>
      <c r="D1120" s="10">
        <v>74</v>
      </c>
      <c r="E1120" s="9">
        <f t="shared" si="52"/>
        <v>51.8</v>
      </c>
      <c r="F1120" s="9">
        <f t="shared" si="53"/>
        <v>71.3</v>
      </c>
    </row>
    <row r="1121" s="1" customFormat="1" spans="1:6">
      <c r="A1121" s="8" t="str">
        <f>"2020893809"</f>
        <v>2020893809</v>
      </c>
      <c r="B1121" s="9">
        <v>67</v>
      </c>
      <c r="C1121" s="9">
        <f t="shared" si="51"/>
        <v>20.1</v>
      </c>
      <c r="D1121" s="10">
        <v>88</v>
      </c>
      <c r="E1121" s="9">
        <f t="shared" si="52"/>
        <v>61.6</v>
      </c>
      <c r="F1121" s="9">
        <f t="shared" si="53"/>
        <v>81.7</v>
      </c>
    </row>
    <row r="1122" s="1" customFormat="1" spans="1:6">
      <c r="A1122" s="8" t="str">
        <f>"2020893810"</f>
        <v>2020893810</v>
      </c>
      <c r="B1122" s="9">
        <v>69</v>
      </c>
      <c r="C1122" s="9">
        <f t="shared" si="51"/>
        <v>20.7</v>
      </c>
      <c r="D1122" s="10">
        <v>90</v>
      </c>
      <c r="E1122" s="9">
        <f t="shared" si="52"/>
        <v>63</v>
      </c>
      <c r="F1122" s="9">
        <f t="shared" si="53"/>
        <v>83.7</v>
      </c>
    </row>
    <row r="1123" s="1" customFormat="1" spans="1:6">
      <c r="A1123" s="8" t="str">
        <f>"2020893811"</f>
        <v>2020893811</v>
      </c>
      <c r="B1123" s="9">
        <v>53</v>
      </c>
      <c r="C1123" s="9">
        <f t="shared" si="51"/>
        <v>15.9</v>
      </c>
      <c r="D1123" s="10">
        <v>72</v>
      </c>
      <c r="E1123" s="9">
        <f t="shared" si="52"/>
        <v>50.4</v>
      </c>
      <c r="F1123" s="9">
        <f t="shared" si="53"/>
        <v>66.3</v>
      </c>
    </row>
    <row r="1124" s="1" customFormat="1" spans="1:6">
      <c r="A1124" s="8" t="str">
        <f>"2020893812"</f>
        <v>2020893812</v>
      </c>
      <c r="B1124" s="9">
        <v>0</v>
      </c>
      <c r="C1124" s="9">
        <f t="shared" si="51"/>
        <v>0</v>
      </c>
      <c r="D1124" s="10">
        <v>0</v>
      </c>
      <c r="E1124" s="9">
        <f t="shared" si="52"/>
        <v>0</v>
      </c>
      <c r="F1124" s="9">
        <f t="shared" si="53"/>
        <v>0</v>
      </c>
    </row>
    <row r="1125" s="1" customFormat="1" spans="1:6">
      <c r="A1125" s="8" t="str">
        <f>"2020893813"</f>
        <v>2020893813</v>
      </c>
      <c r="B1125" s="9">
        <v>0</v>
      </c>
      <c r="C1125" s="9">
        <f t="shared" si="51"/>
        <v>0</v>
      </c>
      <c r="D1125" s="10">
        <v>0</v>
      </c>
      <c r="E1125" s="9">
        <f t="shared" si="52"/>
        <v>0</v>
      </c>
      <c r="F1125" s="9">
        <f t="shared" si="53"/>
        <v>0</v>
      </c>
    </row>
    <row r="1126" s="1" customFormat="1" spans="1:6">
      <c r="A1126" s="8" t="str">
        <f>"2020893814"</f>
        <v>2020893814</v>
      </c>
      <c r="B1126" s="9">
        <v>0</v>
      </c>
      <c r="C1126" s="9">
        <f t="shared" si="51"/>
        <v>0</v>
      </c>
      <c r="D1126" s="10">
        <v>0</v>
      </c>
      <c r="E1126" s="9">
        <f t="shared" si="52"/>
        <v>0</v>
      </c>
      <c r="F1126" s="9">
        <f t="shared" si="53"/>
        <v>0</v>
      </c>
    </row>
    <row r="1127" s="1" customFormat="1" spans="1:6">
      <c r="A1127" s="8" t="str">
        <f>"2020893815"</f>
        <v>2020893815</v>
      </c>
      <c r="B1127" s="9">
        <v>62</v>
      </c>
      <c r="C1127" s="9">
        <f t="shared" si="51"/>
        <v>18.6</v>
      </c>
      <c r="D1127" s="10">
        <v>69</v>
      </c>
      <c r="E1127" s="9">
        <f t="shared" si="52"/>
        <v>48.3</v>
      </c>
      <c r="F1127" s="9">
        <f t="shared" si="53"/>
        <v>66.9</v>
      </c>
    </row>
    <row r="1128" s="1" customFormat="1" spans="1:6">
      <c r="A1128" s="8" t="str">
        <f>"2020893816"</f>
        <v>2020893816</v>
      </c>
      <c r="B1128" s="9">
        <v>0</v>
      </c>
      <c r="C1128" s="9">
        <f t="shared" si="51"/>
        <v>0</v>
      </c>
      <c r="D1128" s="10">
        <v>0</v>
      </c>
      <c r="E1128" s="9">
        <f t="shared" si="52"/>
        <v>0</v>
      </c>
      <c r="F1128" s="9">
        <f t="shared" si="53"/>
        <v>0</v>
      </c>
    </row>
    <row r="1129" s="1" customFormat="1" spans="1:6">
      <c r="A1129" s="8" t="str">
        <f>"2020893817"</f>
        <v>2020893817</v>
      </c>
      <c r="B1129" s="9">
        <v>0</v>
      </c>
      <c r="C1129" s="9">
        <f t="shared" si="51"/>
        <v>0</v>
      </c>
      <c r="D1129" s="10">
        <v>0</v>
      </c>
      <c r="E1129" s="9">
        <f t="shared" si="52"/>
        <v>0</v>
      </c>
      <c r="F1129" s="9">
        <f t="shared" si="53"/>
        <v>0</v>
      </c>
    </row>
    <row r="1130" s="1" customFormat="1" spans="1:6">
      <c r="A1130" s="8" t="str">
        <f>"2020893818"</f>
        <v>2020893818</v>
      </c>
      <c r="B1130" s="9">
        <v>80</v>
      </c>
      <c r="C1130" s="9">
        <f t="shared" si="51"/>
        <v>24</v>
      </c>
      <c r="D1130" s="10">
        <v>80</v>
      </c>
      <c r="E1130" s="9">
        <f t="shared" si="52"/>
        <v>56</v>
      </c>
      <c r="F1130" s="9">
        <f t="shared" si="53"/>
        <v>80</v>
      </c>
    </row>
    <row r="1131" s="1" customFormat="1" spans="1:6">
      <c r="A1131" s="8" t="str">
        <f>"2020893819"</f>
        <v>2020893819</v>
      </c>
      <c r="B1131" s="9">
        <v>70</v>
      </c>
      <c r="C1131" s="9">
        <f t="shared" si="51"/>
        <v>21</v>
      </c>
      <c r="D1131" s="10">
        <v>72</v>
      </c>
      <c r="E1131" s="9">
        <f t="shared" si="52"/>
        <v>50.4</v>
      </c>
      <c r="F1131" s="9">
        <f t="shared" si="53"/>
        <v>71.4</v>
      </c>
    </row>
    <row r="1132" s="1" customFormat="1" spans="1:6">
      <c r="A1132" s="8" t="str">
        <f>"2020893820"</f>
        <v>2020893820</v>
      </c>
      <c r="B1132" s="9">
        <v>59</v>
      </c>
      <c r="C1132" s="9">
        <f t="shared" si="51"/>
        <v>17.7</v>
      </c>
      <c r="D1132" s="10">
        <v>56</v>
      </c>
      <c r="E1132" s="9">
        <f t="shared" si="52"/>
        <v>39.2</v>
      </c>
      <c r="F1132" s="9">
        <f t="shared" si="53"/>
        <v>56.9</v>
      </c>
    </row>
    <row r="1133" s="1" customFormat="1" spans="1:6">
      <c r="A1133" s="8" t="str">
        <f>"2020893821"</f>
        <v>2020893821</v>
      </c>
      <c r="B1133" s="9">
        <v>72</v>
      </c>
      <c r="C1133" s="9">
        <f t="shared" si="51"/>
        <v>21.6</v>
      </c>
      <c r="D1133" s="10">
        <v>83</v>
      </c>
      <c r="E1133" s="9">
        <f t="shared" si="52"/>
        <v>58.1</v>
      </c>
      <c r="F1133" s="9">
        <f t="shared" si="53"/>
        <v>79.7</v>
      </c>
    </row>
    <row r="1134" s="1" customFormat="1" spans="1:6">
      <c r="A1134" s="8" t="str">
        <f>"2020893822"</f>
        <v>2020893822</v>
      </c>
      <c r="B1134" s="9">
        <v>0</v>
      </c>
      <c r="C1134" s="9">
        <f t="shared" si="51"/>
        <v>0</v>
      </c>
      <c r="D1134" s="10">
        <v>0</v>
      </c>
      <c r="E1134" s="9">
        <f t="shared" si="52"/>
        <v>0</v>
      </c>
      <c r="F1134" s="9">
        <f t="shared" si="53"/>
        <v>0</v>
      </c>
    </row>
    <row r="1135" s="1" customFormat="1" spans="1:6">
      <c r="A1135" s="8" t="str">
        <f>"2020893823"</f>
        <v>2020893823</v>
      </c>
      <c r="B1135" s="9">
        <v>0</v>
      </c>
      <c r="C1135" s="9">
        <f t="shared" si="51"/>
        <v>0</v>
      </c>
      <c r="D1135" s="10">
        <v>0</v>
      </c>
      <c r="E1135" s="9">
        <f t="shared" si="52"/>
        <v>0</v>
      </c>
      <c r="F1135" s="9">
        <f t="shared" si="53"/>
        <v>0</v>
      </c>
    </row>
    <row r="1136" s="1" customFormat="1" spans="1:6">
      <c r="A1136" s="8" t="str">
        <f>"2020893824"</f>
        <v>2020893824</v>
      </c>
      <c r="B1136" s="9">
        <v>74</v>
      </c>
      <c r="C1136" s="9">
        <f t="shared" si="51"/>
        <v>22.2</v>
      </c>
      <c r="D1136" s="10">
        <v>85</v>
      </c>
      <c r="E1136" s="9">
        <f t="shared" si="52"/>
        <v>59.5</v>
      </c>
      <c r="F1136" s="9">
        <f t="shared" si="53"/>
        <v>81.7</v>
      </c>
    </row>
    <row r="1137" s="1" customFormat="1" spans="1:6">
      <c r="A1137" s="8" t="str">
        <f>"2020893825"</f>
        <v>2020893825</v>
      </c>
      <c r="B1137" s="9">
        <v>0</v>
      </c>
      <c r="C1137" s="9">
        <f t="shared" si="51"/>
        <v>0</v>
      </c>
      <c r="D1137" s="10">
        <v>0</v>
      </c>
      <c r="E1137" s="9">
        <f t="shared" si="52"/>
        <v>0</v>
      </c>
      <c r="F1137" s="9">
        <f t="shared" si="53"/>
        <v>0</v>
      </c>
    </row>
    <row r="1138" s="1" customFormat="1" spans="1:6">
      <c r="A1138" s="8" t="str">
        <f>"2020893826"</f>
        <v>2020893826</v>
      </c>
      <c r="B1138" s="9">
        <v>0</v>
      </c>
      <c r="C1138" s="9">
        <f t="shared" si="51"/>
        <v>0</v>
      </c>
      <c r="D1138" s="10">
        <v>0</v>
      </c>
      <c r="E1138" s="9">
        <f t="shared" si="52"/>
        <v>0</v>
      </c>
      <c r="F1138" s="9">
        <f t="shared" si="53"/>
        <v>0</v>
      </c>
    </row>
    <row r="1139" s="1" customFormat="1" spans="1:6">
      <c r="A1139" s="8" t="str">
        <f>"2020893827"</f>
        <v>2020893827</v>
      </c>
      <c r="B1139" s="9">
        <v>59</v>
      </c>
      <c r="C1139" s="9">
        <f t="shared" si="51"/>
        <v>17.7</v>
      </c>
      <c r="D1139" s="10">
        <v>63</v>
      </c>
      <c r="E1139" s="9">
        <f t="shared" si="52"/>
        <v>44.1</v>
      </c>
      <c r="F1139" s="9">
        <f t="shared" si="53"/>
        <v>61.8</v>
      </c>
    </row>
    <row r="1140" s="1" customFormat="1" spans="1:6">
      <c r="A1140" s="8" t="str">
        <f>"2020893828"</f>
        <v>2020893828</v>
      </c>
      <c r="B1140" s="9">
        <v>57</v>
      </c>
      <c r="C1140" s="9">
        <f t="shared" si="51"/>
        <v>17.1</v>
      </c>
      <c r="D1140" s="10">
        <v>74</v>
      </c>
      <c r="E1140" s="9">
        <f t="shared" si="52"/>
        <v>51.8</v>
      </c>
      <c r="F1140" s="9">
        <f t="shared" si="53"/>
        <v>68.9</v>
      </c>
    </row>
    <row r="1141" s="1" customFormat="1" spans="1:6">
      <c r="A1141" s="8" t="str">
        <f>"2020893829"</f>
        <v>2020893829</v>
      </c>
      <c r="B1141" s="9">
        <v>55</v>
      </c>
      <c r="C1141" s="9">
        <f t="shared" si="51"/>
        <v>16.5</v>
      </c>
      <c r="D1141" s="10">
        <v>88</v>
      </c>
      <c r="E1141" s="9">
        <f t="shared" si="52"/>
        <v>61.6</v>
      </c>
      <c r="F1141" s="9">
        <f t="shared" si="53"/>
        <v>78.1</v>
      </c>
    </row>
    <row r="1142" s="1" customFormat="1" spans="1:6">
      <c r="A1142" s="8" t="str">
        <f>"2020893830"</f>
        <v>2020893830</v>
      </c>
      <c r="B1142" s="9">
        <v>49</v>
      </c>
      <c r="C1142" s="9">
        <f t="shared" si="51"/>
        <v>14.7</v>
      </c>
      <c r="D1142" s="10">
        <v>71</v>
      </c>
      <c r="E1142" s="9">
        <f t="shared" si="52"/>
        <v>49.7</v>
      </c>
      <c r="F1142" s="9">
        <f t="shared" si="53"/>
        <v>64.4</v>
      </c>
    </row>
    <row r="1143" s="1" customFormat="1" spans="1:6">
      <c r="A1143" s="8" t="str">
        <f>"2020893901"</f>
        <v>2020893901</v>
      </c>
      <c r="B1143" s="9">
        <v>0</v>
      </c>
      <c r="C1143" s="9">
        <f t="shared" si="51"/>
        <v>0</v>
      </c>
      <c r="D1143" s="10">
        <v>0</v>
      </c>
      <c r="E1143" s="9">
        <f t="shared" si="52"/>
        <v>0</v>
      </c>
      <c r="F1143" s="9">
        <f t="shared" si="53"/>
        <v>0</v>
      </c>
    </row>
    <row r="1144" s="1" customFormat="1" spans="1:6">
      <c r="A1144" s="8" t="str">
        <f>"2020893902"</f>
        <v>2020893902</v>
      </c>
      <c r="B1144" s="9">
        <v>57</v>
      </c>
      <c r="C1144" s="9">
        <f t="shared" si="51"/>
        <v>17.1</v>
      </c>
      <c r="D1144" s="10">
        <v>62</v>
      </c>
      <c r="E1144" s="9">
        <f t="shared" si="52"/>
        <v>43.4</v>
      </c>
      <c r="F1144" s="9">
        <f t="shared" si="53"/>
        <v>60.5</v>
      </c>
    </row>
    <row r="1145" s="1" customFormat="1" spans="1:6">
      <c r="A1145" s="8" t="str">
        <f>"2020893903"</f>
        <v>2020893903</v>
      </c>
      <c r="B1145" s="9">
        <v>0</v>
      </c>
      <c r="C1145" s="9">
        <f t="shared" si="51"/>
        <v>0</v>
      </c>
      <c r="D1145" s="10">
        <v>0</v>
      </c>
      <c r="E1145" s="9">
        <f t="shared" si="52"/>
        <v>0</v>
      </c>
      <c r="F1145" s="9">
        <f t="shared" si="53"/>
        <v>0</v>
      </c>
    </row>
    <row r="1146" s="1" customFormat="1" spans="1:6">
      <c r="A1146" s="8" t="str">
        <f>"2020893904"</f>
        <v>2020893904</v>
      </c>
      <c r="B1146" s="9">
        <v>0</v>
      </c>
      <c r="C1146" s="9">
        <f t="shared" si="51"/>
        <v>0</v>
      </c>
      <c r="D1146" s="10">
        <v>0</v>
      </c>
      <c r="E1146" s="9">
        <f t="shared" si="52"/>
        <v>0</v>
      </c>
      <c r="F1146" s="9">
        <f t="shared" si="53"/>
        <v>0</v>
      </c>
    </row>
    <row r="1147" s="1" customFormat="1" spans="1:6">
      <c r="A1147" s="8" t="str">
        <f>"2020893905"</f>
        <v>2020893905</v>
      </c>
      <c r="B1147" s="9">
        <v>65</v>
      </c>
      <c r="C1147" s="9">
        <f t="shared" si="51"/>
        <v>19.5</v>
      </c>
      <c r="D1147" s="10">
        <v>78</v>
      </c>
      <c r="E1147" s="9">
        <f t="shared" si="52"/>
        <v>54.6</v>
      </c>
      <c r="F1147" s="9">
        <f t="shared" si="53"/>
        <v>74.1</v>
      </c>
    </row>
    <row r="1148" s="1" customFormat="1" spans="1:6">
      <c r="A1148" s="8" t="str">
        <f>"2020893906"</f>
        <v>2020893906</v>
      </c>
      <c r="B1148" s="9">
        <v>0</v>
      </c>
      <c r="C1148" s="9">
        <f t="shared" si="51"/>
        <v>0</v>
      </c>
      <c r="D1148" s="10">
        <v>0</v>
      </c>
      <c r="E1148" s="9">
        <f t="shared" si="52"/>
        <v>0</v>
      </c>
      <c r="F1148" s="9">
        <f t="shared" si="53"/>
        <v>0</v>
      </c>
    </row>
    <row r="1149" s="1" customFormat="1" spans="1:6">
      <c r="A1149" s="8" t="str">
        <f>"2020893907"</f>
        <v>2020893907</v>
      </c>
      <c r="B1149" s="9">
        <v>61</v>
      </c>
      <c r="C1149" s="9">
        <f t="shared" si="51"/>
        <v>18.3</v>
      </c>
      <c r="D1149" s="10">
        <v>75</v>
      </c>
      <c r="E1149" s="9">
        <f t="shared" si="52"/>
        <v>52.5</v>
      </c>
      <c r="F1149" s="9">
        <f t="shared" si="53"/>
        <v>70.8</v>
      </c>
    </row>
    <row r="1150" s="1" customFormat="1" spans="1:6">
      <c r="A1150" s="8" t="str">
        <f>"2020893908"</f>
        <v>2020893908</v>
      </c>
      <c r="B1150" s="9">
        <v>0</v>
      </c>
      <c r="C1150" s="9">
        <f t="shared" si="51"/>
        <v>0</v>
      </c>
      <c r="D1150" s="10">
        <v>0</v>
      </c>
      <c r="E1150" s="9">
        <f t="shared" si="52"/>
        <v>0</v>
      </c>
      <c r="F1150" s="9">
        <f t="shared" si="53"/>
        <v>0</v>
      </c>
    </row>
    <row r="1151" s="1" customFormat="1" spans="1:6">
      <c r="A1151" s="8" t="str">
        <f>"2020893909"</f>
        <v>2020893909</v>
      </c>
      <c r="B1151" s="9">
        <v>50</v>
      </c>
      <c r="C1151" s="9">
        <f t="shared" si="51"/>
        <v>15</v>
      </c>
      <c r="D1151" s="10">
        <v>71</v>
      </c>
      <c r="E1151" s="9">
        <f t="shared" si="52"/>
        <v>49.7</v>
      </c>
      <c r="F1151" s="9">
        <f t="shared" si="53"/>
        <v>64.7</v>
      </c>
    </row>
    <row r="1152" s="1" customFormat="1" spans="1:6">
      <c r="A1152" s="8" t="str">
        <f>"2020893910"</f>
        <v>2020893910</v>
      </c>
      <c r="B1152" s="9">
        <v>71</v>
      </c>
      <c r="C1152" s="9">
        <f t="shared" si="51"/>
        <v>21.3</v>
      </c>
      <c r="D1152" s="10">
        <v>82</v>
      </c>
      <c r="E1152" s="9">
        <f t="shared" si="52"/>
        <v>57.4</v>
      </c>
      <c r="F1152" s="9">
        <f t="shared" si="53"/>
        <v>78.7</v>
      </c>
    </row>
    <row r="1153" s="1" customFormat="1" spans="1:6">
      <c r="A1153" s="8" t="str">
        <f>"2020893911"</f>
        <v>2020893911</v>
      </c>
      <c r="B1153" s="9">
        <v>63</v>
      </c>
      <c r="C1153" s="9">
        <f t="shared" si="51"/>
        <v>18.9</v>
      </c>
      <c r="D1153" s="10">
        <v>72</v>
      </c>
      <c r="E1153" s="9">
        <f t="shared" si="52"/>
        <v>50.4</v>
      </c>
      <c r="F1153" s="9">
        <f t="shared" si="53"/>
        <v>69.3</v>
      </c>
    </row>
    <row r="1154" s="1" customFormat="1" spans="1:6">
      <c r="A1154" s="8" t="str">
        <f>"2020893912"</f>
        <v>2020893912</v>
      </c>
      <c r="B1154" s="9">
        <v>66</v>
      </c>
      <c r="C1154" s="9">
        <f t="shared" si="51"/>
        <v>19.8</v>
      </c>
      <c r="D1154" s="10">
        <v>54</v>
      </c>
      <c r="E1154" s="9">
        <f t="shared" si="52"/>
        <v>37.8</v>
      </c>
      <c r="F1154" s="9">
        <f t="shared" si="53"/>
        <v>57.6</v>
      </c>
    </row>
    <row r="1155" s="1" customFormat="1" spans="1:6">
      <c r="A1155" s="8" t="str">
        <f>"2020893913"</f>
        <v>2020893913</v>
      </c>
      <c r="B1155" s="9">
        <v>63</v>
      </c>
      <c r="C1155" s="9">
        <f t="shared" ref="C1155:C1218" si="54">B1155*0.3</f>
        <v>18.9</v>
      </c>
      <c r="D1155" s="10">
        <v>78</v>
      </c>
      <c r="E1155" s="9">
        <f t="shared" ref="E1155:E1218" si="55">D1155*0.7</f>
        <v>54.6</v>
      </c>
      <c r="F1155" s="9">
        <f t="shared" ref="F1155:F1218" si="56">C1155+E1155</f>
        <v>73.5</v>
      </c>
    </row>
    <row r="1156" s="1" customFormat="1" spans="1:6">
      <c r="A1156" s="8" t="str">
        <f>"2020893914"</f>
        <v>2020893914</v>
      </c>
      <c r="B1156" s="9">
        <v>80</v>
      </c>
      <c r="C1156" s="9">
        <f t="shared" si="54"/>
        <v>24</v>
      </c>
      <c r="D1156" s="10">
        <v>77</v>
      </c>
      <c r="E1156" s="9">
        <f t="shared" si="55"/>
        <v>53.9</v>
      </c>
      <c r="F1156" s="9">
        <f t="shared" si="56"/>
        <v>77.9</v>
      </c>
    </row>
    <row r="1157" s="1" customFormat="1" spans="1:6">
      <c r="A1157" s="8" t="str">
        <f>"2020893915"</f>
        <v>2020893915</v>
      </c>
      <c r="B1157" s="9">
        <v>62</v>
      </c>
      <c r="C1157" s="9">
        <f t="shared" si="54"/>
        <v>18.6</v>
      </c>
      <c r="D1157" s="10">
        <v>89</v>
      </c>
      <c r="E1157" s="9">
        <f t="shared" si="55"/>
        <v>62.3</v>
      </c>
      <c r="F1157" s="9">
        <f t="shared" si="56"/>
        <v>80.9</v>
      </c>
    </row>
    <row r="1158" s="1" customFormat="1" spans="1:6">
      <c r="A1158" s="8" t="str">
        <f>"2020893916"</f>
        <v>2020893916</v>
      </c>
      <c r="B1158" s="9">
        <v>60</v>
      </c>
      <c r="C1158" s="9">
        <f t="shared" si="54"/>
        <v>18</v>
      </c>
      <c r="D1158" s="10">
        <v>78</v>
      </c>
      <c r="E1158" s="9">
        <f t="shared" si="55"/>
        <v>54.6</v>
      </c>
      <c r="F1158" s="9">
        <f t="shared" si="56"/>
        <v>72.6</v>
      </c>
    </row>
    <row r="1159" s="1" customFormat="1" spans="1:6">
      <c r="A1159" s="8" t="str">
        <f>"2020893917"</f>
        <v>2020893917</v>
      </c>
      <c r="B1159" s="9">
        <v>63</v>
      </c>
      <c r="C1159" s="9">
        <f t="shared" si="54"/>
        <v>18.9</v>
      </c>
      <c r="D1159" s="10">
        <v>72</v>
      </c>
      <c r="E1159" s="9">
        <f t="shared" si="55"/>
        <v>50.4</v>
      </c>
      <c r="F1159" s="9">
        <f t="shared" si="56"/>
        <v>69.3</v>
      </c>
    </row>
    <row r="1160" s="1" customFormat="1" spans="1:6">
      <c r="A1160" s="8" t="str">
        <f>"2020893918"</f>
        <v>2020893918</v>
      </c>
      <c r="B1160" s="9">
        <v>0</v>
      </c>
      <c r="C1160" s="9">
        <f t="shared" si="54"/>
        <v>0</v>
      </c>
      <c r="D1160" s="10">
        <v>0</v>
      </c>
      <c r="E1160" s="9">
        <f t="shared" si="55"/>
        <v>0</v>
      </c>
      <c r="F1160" s="9">
        <f t="shared" si="56"/>
        <v>0</v>
      </c>
    </row>
    <row r="1161" s="1" customFormat="1" spans="1:6">
      <c r="A1161" s="8" t="str">
        <f>"2020893919"</f>
        <v>2020893919</v>
      </c>
      <c r="B1161" s="9">
        <v>71</v>
      </c>
      <c r="C1161" s="9">
        <f t="shared" si="54"/>
        <v>21.3</v>
      </c>
      <c r="D1161" s="10">
        <v>82</v>
      </c>
      <c r="E1161" s="9">
        <f t="shared" si="55"/>
        <v>57.4</v>
      </c>
      <c r="F1161" s="9">
        <f t="shared" si="56"/>
        <v>78.7</v>
      </c>
    </row>
    <row r="1162" s="1" customFormat="1" spans="1:6">
      <c r="A1162" s="8" t="str">
        <f>"2020893920"</f>
        <v>2020893920</v>
      </c>
      <c r="B1162" s="9">
        <v>0</v>
      </c>
      <c r="C1162" s="9">
        <f t="shared" si="54"/>
        <v>0</v>
      </c>
      <c r="D1162" s="10">
        <v>0</v>
      </c>
      <c r="E1162" s="9">
        <f t="shared" si="55"/>
        <v>0</v>
      </c>
      <c r="F1162" s="9">
        <f t="shared" si="56"/>
        <v>0</v>
      </c>
    </row>
    <row r="1163" s="1" customFormat="1" spans="1:6">
      <c r="A1163" s="8" t="str">
        <f>"2020893921"</f>
        <v>2020893921</v>
      </c>
      <c r="B1163" s="9">
        <v>72</v>
      </c>
      <c r="C1163" s="9">
        <f t="shared" si="54"/>
        <v>21.6</v>
      </c>
      <c r="D1163" s="10">
        <v>84</v>
      </c>
      <c r="E1163" s="9">
        <f t="shared" si="55"/>
        <v>58.8</v>
      </c>
      <c r="F1163" s="9">
        <f t="shared" si="56"/>
        <v>80.4</v>
      </c>
    </row>
    <row r="1164" s="1" customFormat="1" spans="1:6">
      <c r="A1164" s="8" t="str">
        <f>"2020893922"</f>
        <v>2020893922</v>
      </c>
      <c r="B1164" s="9">
        <v>72</v>
      </c>
      <c r="C1164" s="9">
        <f t="shared" si="54"/>
        <v>21.6</v>
      </c>
      <c r="D1164" s="10">
        <v>79</v>
      </c>
      <c r="E1164" s="9">
        <f t="shared" si="55"/>
        <v>55.3</v>
      </c>
      <c r="F1164" s="9">
        <f t="shared" si="56"/>
        <v>76.9</v>
      </c>
    </row>
    <row r="1165" s="1" customFormat="1" spans="1:6">
      <c r="A1165" s="8" t="str">
        <f>"2020893923"</f>
        <v>2020893923</v>
      </c>
      <c r="B1165" s="9">
        <v>61</v>
      </c>
      <c r="C1165" s="9">
        <f t="shared" si="54"/>
        <v>18.3</v>
      </c>
      <c r="D1165" s="10">
        <v>88</v>
      </c>
      <c r="E1165" s="9">
        <f t="shared" si="55"/>
        <v>61.6</v>
      </c>
      <c r="F1165" s="9">
        <f t="shared" si="56"/>
        <v>79.9</v>
      </c>
    </row>
    <row r="1166" s="1" customFormat="1" spans="1:6">
      <c r="A1166" s="8" t="str">
        <f>"2020893924"</f>
        <v>2020893924</v>
      </c>
      <c r="B1166" s="9">
        <v>70</v>
      </c>
      <c r="C1166" s="9">
        <f t="shared" si="54"/>
        <v>21</v>
      </c>
      <c r="D1166" s="10">
        <v>88</v>
      </c>
      <c r="E1166" s="9">
        <f t="shared" si="55"/>
        <v>61.6</v>
      </c>
      <c r="F1166" s="9">
        <f t="shared" si="56"/>
        <v>82.6</v>
      </c>
    </row>
    <row r="1167" s="1" customFormat="1" spans="1:6">
      <c r="A1167" s="8" t="str">
        <f>"2020893925"</f>
        <v>2020893925</v>
      </c>
      <c r="B1167" s="9">
        <v>73</v>
      </c>
      <c r="C1167" s="9">
        <f t="shared" si="54"/>
        <v>21.9</v>
      </c>
      <c r="D1167" s="10">
        <v>57</v>
      </c>
      <c r="E1167" s="9">
        <f t="shared" si="55"/>
        <v>39.9</v>
      </c>
      <c r="F1167" s="9">
        <f t="shared" si="56"/>
        <v>61.8</v>
      </c>
    </row>
    <row r="1168" s="1" customFormat="1" spans="1:6">
      <c r="A1168" s="8" t="str">
        <f>"2020893926"</f>
        <v>2020893926</v>
      </c>
      <c r="B1168" s="9">
        <v>78</v>
      </c>
      <c r="C1168" s="9">
        <f t="shared" si="54"/>
        <v>23.4</v>
      </c>
      <c r="D1168" s="10">
        <v>81</v>
      </c>
      <c r="E1168" s="9">
        <f t="shared" si="55"/>
        <v>56.7</v>
      </c>
      <c r="F1168" s="9">
        <f t="shared" si="56"/>
        <v>80.1</v>
      </c>
    </row>
    <row r="1169" s="1" customFormat="1" spans="1:6">
      <c r="A1169" s="8" t="str">
        <f>"2020893927"</f>
        <v>2020893927</v>
      </c>
      <c r="B1169" s="9">
        <v>64</v>
      </c>
      <c r="C1169" s="9">
        <f t="shared" si="54"/>
        <v>19.2</v>
      </c>
      <c r="D1169" s="10">
        <v>65</v>
      </c>
      <c r="E1169" s="9">
        <f t="shared" si="55"/>
        <v>45.5</v>
      </c>
      <c r="F1169" s="9">
        <f t="shared" si="56"/>
        <v>64.7</v>
      </c>
    </row>
    <row r="1170" s="1" customFormat="1" spans="1:6">
      <c r="A1170" s="8" t="str">
        <f>"2020893928"</f>
        <v>2020893928</v>
      </c>
      <c r="B1170" s="9">
        <v>0</v>
      </c>
      <c r="C1170" s="9">
        <f t="shared" si="54"/>
        <v>0</v>
      </c>
      <c r="D1170" s="10">
        <v>0</v>
      </c>
      <c r="E1170" s="9">
        <f t="shared" si="55"/>
        <v>0</v>
      </c>
      <c r="F1170" s="9">
        <f t="shared" si="56"/>
        <v>0</v>
      </c>
    </row>
    <row r="1171" s="1" customFormat="1" spans="1:6">
      <c r="A1171" s="8" t="str">
        <f>"2020893929"</f>
        <v>2020893929</v>
      </c>
      <c r="B1171" s="9">
        <v>73</v>
      </c>
      <c r="C1171" s="9">
        <f t="shared" si="54"/>
        <v>21.9</v>
      </c>
      <c r="D1171" s="10">
        <v>75</v>
      </c>
      <c r="E1171" s="9">
        <f t="shared" si="55"/>
        <v>52.5</v>
      </c>
      <c r="F1171" s="9">
        <f t="shared" si="56"/>
        <v>74.4</v>
      </c>
    </row>
    <row r="1172" s="1" customFormat="1" spans="1:6">
      <c r="A1172" s="8" t="str">
        <f>"2020893930"</f>
        <v>2020893930</v>
      </c>
      <c r="B1172" s="9">
        <v>68</v>
      </c>
      <c r="C1172" s="9">
        <f t="shared" si="54"/>
        <v>20.4</v>
      </c>
      <c r="D1172" s="10">
        <v>74</v>
      </c>
      <c r="E1172" s="9">
        <f t="shared" si="55"/>
        <v>51.8</v>
      </c>
      <c r="F1172" s="9">
        <f t="shared" si="56"/>
        <v>72.2</v>
      </c>
    </row>
    <row r="1173" s="1" customFormat="1" spans="1:6">
      <c r="A1173" s="8" t="str">
        <f>"2020894001"</f>
        <v>2020894001</v>
      </c>
      <c r="B1173" s="9">
        <v>60</v>
      </c>
      <c r="C1173" s="9">
        <f t="shared" si="54"/>
        <v>18</v>
      </c>
      <c r="D1173" s="10">
        <v>66</v>
      </c>
      <c r="E1173" s="9">
        <f t="shared" si="55"/>
        <v>46.2</v>
      </c>
      <c r="F1173" s="9">
        <f t="shared" si="56"/>
        <v>64.2</v>
      </c>
    </row>
    <row r="1174" s="1" customFormat="1" spans="1:6">
      <c r="A1174" s="8" t="str">
        <f>"2020894002"</f>
        <v>2020894002</v>
      </c>
      <c r="B1174" s="9">
        <v>57</v>
      </c>
      <c r="C1174" s="9">
        <f t="shared" si="54"/>
        <v>17.1</v>
      </c>
      <c r="D1174" s="10">
        <v>72</v>
      </c>
      <c r="E1174" s="9">
        <f t="shared" si="55"/>
        <v>50.4</v>
      </c>
      <c r="F1174" s="9">
        <f t="shared" si="56"/>
        <v>67.5</v>
      </c>
    </row>
    <row r="1175" s="1" customFormat="1" spans="1:6">
      <c r="A1175" s="8" t="str">
        <f>"2020894003"</f>
        <v>2020894003</v>
      </c>
      <c r="B1175" s="9">
        <v>74</v>
      </c>
      <c r="C1175" s="9">
        <f t="shared" si="54"/>
        <v>22.2</v>
      </c>
      <c r="D1175" s="10">
        <v>68</v>
      </c>
      <c r="E1175" s="9">
        <f t="shared" si="55"/>
        <v>47.6</v>
      </c>
      <c r="F1175" s="9">
        <f t="shared" si="56"/>
        <v>69.8</v>
      </c>
    </row>
    <row r="1176" s="1" customFormat="1" spans="1:6">
      <c r="A1176" s="8" t="str">
        <f>"2020894004"</f>
        <v>2020894004</v>
      </c>
      <c r="B1176" s="9">
        <v>68</v>
      </c>
      <c r="C1176" s="9">
        <f t="shared" si="54"/>
        <v>20.4</v>
      </c>
      <c r="D1176" s="10">
        <v>80</v>
      </c>
      <c r="E1176" s="9">
        <f t="shared" si="55"/>
        <v>56</v>
      </c>
      <c r="F1176" s="9">
        <f t="shared" si="56"/>
        <v>76.4</v>
      </c>
    </row>
    <row r="1177" s="1" customFormat="1" spans="1:6">
      <c r="A1177" s="8" t="str">
        <f>"2020894005"</f>
        <v>2020894005</v>
      </c>
      <c r="B1177" s="9">
        <v>71</v>
      </c>
      <c r="C1177" s="9">
        <f t="shared" si="54"/>
        <v>21.3</v>
      </c>
      <c r="D1177" s="10">
        <v>83</v>
      </c>
      <c r="E1177" s="9">
        <f t="shared" si="55"/>
        <v>58.1</v>
      </c>
      <c r="F1177" s="9">
        <f t="shared" si="56"/>
        <v>79.4</v>
      </c>
    </row>
    <row r="1178" s="1" customFormat="1" spans="1:6">
      <c r="A1178" s="8" t="str">
        <f>"2020894006"</f>
        <v>2020894006</v>
      </c>
      <c r="B1178" s="9">
        <v>72</v>
      </c>
      <c r="C1178" s="9">
        <f t="shared" si="54"/>
        <v>21.6</v>
      </c>
      <c r="D1178" s="10">
        <v>71</v>
      </c>
      <c r="E1178" s="9">
        <f t="shared" si="55"/>
        <v>49.7</v>
      </c>
      <c r="F1178" s="9">
        <f t="shared" si="56"/>
        <v>71.3</v>
      </c>
    </row>
    <row r="1179" s="1" customFormat="1" spans="1:6">
      <c r="A1179" s="8" t="str">
        <f>"2020894007"</f>
        <v>2020894007</v>
      </c>
      <c r="B1179" s="9">
        <v>67</v>
      </c>
      <c r="C1179" s="9">
        <f t="shared" si="54"/>
        <v>20.1</v>
      </c>
      <c r="D1179" s="10">
        <v>66</v>
      </c>
      <c r="E1179" s="9">
        <f t="shared" si="55"/>
        <v>46.2</v>
      </c>
      <c r="F1179" s="9">
        <f t="shared" si="56"/>
        <v>66.3</v>
      </c>
    </row>
    <row r="1180" s="1" customFormat="1" spans="1:6">
      <c r="A1180" s="8" t="str">
        <f>"2020894008"</f>
        <v>2020894008</v>
      </c>
      <c r="B1180" s="9">
        <v>65</v>
      </c>
      <c r="C1180" s="9">
        <f t="shared" si="54"/>
        <v>19.5</v>
      </c>
      <c r="D1180" s="10">
        <v>65</v>
      </c>
      <c r="E1180" s="9">
        <f t="shared" si="55"/>
        <v>45.5</v>
      </c>
      <c r="F1180" s="9">
        <f t="shared" si="56"/>
        <v>65</v>
      </c>
    </row>
    <row r="1181" s="1" customFormat="1" spans="1:6">
      <c r="A1181" s="8" t="str">
        <f>"2020894009"</f>
        <v>2020894009</v>
      </c>
      <c r="B1181" s="9">
        <v>0</v>
      </c>
      <c r="C1181" s="9">
        <f t="shared" si="54"/>
        <v>0</v>
      </c>
      <c r="D1181" s="10">
        <v>0</v>
      </c>
      <c r="E1181" s="9">
        <f t="shared" si="55"/>
        <v>0</v>
      </c>
      <c r="F1181" s="9">
        <f t="shared" si="56"/>
        <v>0</v>
      </c>
    </row>
    <row r="1182" s="1" customFormat="1" spans="1:6">
      <c r="A1182" s="8" t="str">
        <f>"2020894010"</f>
        <v>2020894010</v>
      </c>
      <c r="B1182" s="9">
        <v>73</v>
      </c>
      <c r="C1182" s="9">
        <f t="shared" si="54"/>
        <v>21.9</v>
      </c>
      <c r="D1182" s="10">
        <v>79</v>
      </c>
      <c r="E1182" s="9">
        <f t="shared" si="55"/>
        <v>55.3</v>
      </c>
      <c r="F1182" s="9">
        <f t="shared" si="56"/>
        <v>77.2</v>
      </c>
    </row>
    <row r="1183" s="1" customFormat="1" spans="1:6">
      <c r="A1183" s="8" t="str">
        <f>"2020894011"</f>
        <v>2020894011</v>
      </c>
      <c r="B1183" s="9">
        <v>56</v>
      </c>
      <c r="C1183" s="9">
        <f t="shared" si="54"/>
        <v>16.8</v>
      </c>
      <c r="D1183" s="10">
        <v>70</v>
      </c>
      <c r="E1183" s="9">
        <f t="shared" si="55"/>
        <v>49</v>
      </c>
      <c r="F1183" s="9">
        <f t="shared" si="56"/>
        <v>65.8</v>
      </c>
    </row>
    <row r="1184" s="1" customFormat="1" spans="1:6">
      <c r="A1184" s="8" t="str">
        <f>"2020894012"</f>
        <v>2020894012</v>
      </c>
      <c r="B1184" s="9">
        <v>0</v>
      </c>
      <c r="C1184" s="9">
        <f t="shared" si="54"/>
        <v>0</v>
      </c>
      <c r="D1184" s="10">
        <v>0</v>
      </c>
      <c r="E1184" s="9">
        <f t="shared" si="55"/>
        <v>0</v>
      </c>
      <c r="F1184" s="9">
        <f t="shared" si="56"/>
        <v>0</v>
      </c>
    </row>
    <row r="1185" s="1" customFormat="1" spans="1:6">
      <c r="A1185" s="8" t="str">
        <f>"2020894013"</f>
        <v>2020894013</v>
      </c>
      <c r="B1185" s="9">
        <v>67</v>
      </c>
      <c r="C1185" s="9">
        <f t="shared" si="54"/>
        <v>20.1</v>
      </c>
      <c r="D1185" s="10">
        <v>83</v>
      </c>
      <c r="E1185" s="9">
        <f t="shared" si="55"/>
        <v>58.1</v>
      </c>
      <c r="F1185" s="9">
        <f t="shared" si="56"/>
        <v>78.2</v>
      </c>
    </row>
    <row r="1186" s="1" customFormat="1" spans="1:6">
      <c r="A1186" s="8" t="str">
        <f>"2020894014"</f>
        <v>2020894014</v>
      </c>
      <c r="B1186" s="9">
        <v>59</v>
      </c>
      <c r="C1186" s="9">
        <f t="shared" si="54"/>
        <v>17.7</v>
      </c>
      <c r="D1186" s="10">
        <v>80</v>
      </c>
      <c r="E1186" s="9">
        <f t="shared" si="55"/>
        <v>56</v>
      </c>
      <c r="F1186" s="9">
        <f t="shared" si="56"/>
        <v>73.7</v>
      </c>
    </row>
    <row r="1187" s="1" customFormat="1" spans="1:6">
      <c r="A1187" s="8" t="str">
        <f>"2020894015"</f>
        <v>2020894015</v>
      </c>
      <c r="B1187" s="9">
        <v>54</v>
      </c>
      <c r="C1187" s="9">
        <f t="shared" si="54"/>
        <v>16.2</v>
      </c>
      <c r="D1187" s="10">
        <v>66</v>
      </c>
      <c r="E1187" s="9">
        <f t="shared" si="55"/>
        <v>46.2</v>
      </c>
      <c r="F1187" s="9">
        <f t="shared" si="56"/>
        <v>62.4</v>
      </c>
    </row>
    <row r="1188" s="1" customFormat="1" spans="1:6">
      <c r="A1188" s="8" t="str">
        <f>"2020894016"</f>
        <v>2020894016</v>
      </c>
      <c r="B1188" s="9">
        <v>0</v>
      </c>
      <c r="C1188" s="9">
        <f t="shared" si="54"/>
        <v>0</v>
      </c>
      <c r="D1188" s="10">
        <v>0</v>
      </c>
      <c r="E1188" s="9">
        <f t="shared" si="55"/>
        <v>0</v>
      </c>
      <c r="F1188" s="9">
        <f t="shared" si="56"/>
        <v>0</v>
      </c>
    </row>
    <row r="1189" s="1" customFormat="1" spans="1:6">
      <c r="A1189" s="8" t="str">
        <f>"2020894017"</f>
        <v>2020894017</v>
      </c>
      <c r="B1189" s="9">
        <v>0</v>
      </c>
      <c r="C1189" s="9">
        <f t="shared" si="54"/>
        <v>0</v>
      </c>
      <c r="D1189" s="10">
        <v>0</v>
      </c>
      <c r="E1189" s="9">
        <f t="shared" si="55"/>
        <v>0</v>
      </c>
      <c r="F1189" s="9">
        <f t="shared" si="56"/>
        <v>0</v>
      </c>
    </row>
    <row r="1190" s="1" customFormat="1" spans="1:6">
      <c r="A1190" s="8" t="str">
        <f>"2020894018"</f>
        <v>2020894018</v>
      </c>
      <c r="B1190" s="9">
        <v>59</v>
      </c>
      <c r="C1190" s="9">
        <f t="shared" si="54"/>
        <v>17.7</v>
      </c>
      <c r="D1190" s="10">
        <v>84</v>
      </c>
      <c r="E1190" s="9">
        <f t="shared" si="55"/>
        <v>58.8</v>
      </c>
      <c r="F1190" s="9">
        <f t="shared" si="56"/>
        <v>76.5</v>
      </c>
    </row>
    <row r="1191" s="1" customFormat="1" spans="1:6">
      <c r="A1191" s="8" t="str">
        <f>"2020894019"</f>
        <v>2020894019</v>
      </c>
      <c r="B1191" s="9">
        <v>64</v>
      </c>
      <c r="C1191" s="9">
        <f t="shared" si="54"/>
        <v>19.2</v>
      </c>
      <c r="D1191" s="10">
        <v>73</v>
      </c>
      <c r="E1191" s="9">
        <f t="shared" si="55"/>
        <v>51.1</v>
      </c>
      <c r="F1191" s="9">
        <f t="shared" si="56"/>
        <v>70.3</v>
      </c>
    </row>
    <row r="1192" s="1" customFormat="1" spans="1:6">
      <c r="A1192" s="8" t="str">
        <f>"2020894020"</f>
        <v>2020894020</v>
      </c>
      <c r="B1192" s="9">
        <v>74</v>
      </c>
      <c r="C1192" s="9">
        <f t="shared" si="54"/>
        <v>22.2</v>
      </c>
      <c r="D1192" s="10">
        <v>83</v>
      </c>
      <c r="E1192" s="9">
        <f t="shared" si="55"/>
        <v>58.1</v>
      </c>
      <c r="F1192" s="9">
        <f t="shared" si="56"/>
        <v>80.3</v>
      </c>
    </row>
    <row r="1193" s="1" customFormat="1" spans="1:6">
      <c r="A1193" s="8" t="str">
        <f>"2020894021"</f>
        <v>2020894021</v>
      </c>
      <c r="B1193" s="9">
        <v>0</v>
      </c>
      <c r="C1193" s="9">
        <f t="shared" si="54"/>
        <v>0</v>
      </c>
      <c r="D1193" s="10">
        <v>0</v>
      </c>
      <c r="E1193" s="9">
        <f t="shared" si="55"/>
        <v>0</v>
      </c>
      <c r="F1193" s="9">
        <f t="shared" si="56"/>
        <v>0</v>
      </c>
    </row>
    <row r="1194" s="1" customFormat="1" spans="1:6">
      <c r="A1194" s="8" t="str">
        <f>"2020894022"</f>
        <v>2020894022</v>
      </c>
      <c r="B1194" s="9">
        <v>65</v>
      </c>
      <c r="C1194" s="9">
        <f t="shared" si="54"/>
        <v>19.5</v>
      </c>
      <c r="D1194" s="10">
        <v>77</v>
      </c>
      <c r="E1194" s="9">
        <f t="shared" si="55"/>
        <v>53.9</v>
      </c>
      <c r="F1194" s="9">
        <f t="shared" si="56"/>
        <v>73.4</v>
      </c>
    </row>
    <row r="1195" s="1" customFormat="1" spans="1:6">
      <c r="A1195" s="8" t="str">
        <f>"2020894023"</f>
        <v>2020894023</v>
      </c>
      <c r="B1195" s="9">
        <v>71</v>
      </c>
      <c r="C1195" s="9">
        <f t="shared" si="54"/>
        <v>21.3</v>
      </c>
      <c r="D1195" s="10">
        <v>80</v>
      </c>
      <c r="E1195" s="9">
        <f t="shared" si="55"/>
        <v>56</v>
      </c>
      <c r="F1195" s="9">
        <f t="shared" si="56"/>
        <v>77.3</v>
      </c>
    </row>
    <row r="1196" s="1" customFormat="1" spans="1:6">
      <c r="A1196" s="8" t="str">
        <f>"2020894024"</f>
        <v>2020894024</v>
      </c>
      <c r="B1196" s="9">
        <v>0</v>
      </c>
      <c r="C1196" s="9">
        <f t="shared" si="54"/>
        <v>0</v>
      </c>
      <c r="D1196" s="10">
        <v>0</v>
      </c>
      <c r="E1196" s="9">
        <f t="shared" si="55"/>
        <v>0</v>
      </c>
      <c r="F1196" s="9">
        <f t="shared" si="56"/>
        <v>0</v>
      </c>
    </row>
    <row r="1197" s="1" customFormat="1" spans="1:6">
      <c r="A1197" s="8" t="str">
        <f>"2020894025"</f>
        <v>2020894025</v>
      </c>
      <c r="B1197" s="9">
        <v>0</v>
      </c>
      <c r="C1197" s="9">
        <f t="shared" si="54"/>
        <v>0</v>
      </c>
      <c r="D1197" s="10">
        <v>0</v>
      </c>
      <c r="E1197" s="9">
        <f t="shared" si="55"/>
        <v>0</v>
      </c>
      <c r="F1197" s="9">
        <f t="shared" si="56"/>
        <v>0</v>
      </c>
    </row>
    <row r="1198" s="1" customFormat="1" spans="1:6">
      <c r="A1198" s="8" t="str">
        <f>"2020894026"</f>
        <v>2020894026</v>
      </c>
      <c r="B1198" s="9">
        <v>0</v>
      </c>
      <c r="C1198" s="9">
        <f t="shared" si="54"/>
        <v>0</v>
      </c>
      <c r="D1198" s="10">
        <v>0</v>
      </c>
      <c r="E1198" s="9">
        <f t="shared" si="55"/>
        <v>0</v>
      </c>
      <c r="F1198" s="9">
        <f t="shared" si="56"/>
        <v>0</v>
      </c>
    </row>
    <row r="1199" s="1" customFormat="1" spans="1:6">
      <c r="A1199" s="8" t="str">
        <f>"2020894027"</f>
        <v>2020894027</v>
      </c>
      <c r="B1199" s="9">
        <v>0</v>
      </c>
      <c r="C1199" s="9">
        <f t="shared" si="54"/>
        <v>0</v>
      </c>
      <c r="D1199" s="10">
        <v>0</v>
      </c>
      <c r="E1199" s="9">
        <f t="shared" si="55"/>
        <v>0</v>
      </c>
      <c r="F1199" s="9">
        <f t="shared" si="56"/>
        <v>0</v>
      </c>
    </row>
    <row r="1200" s="1" customFormat="1" spans="1:6">
      <c r="A1200" s="8" t="str">
        <f>"2020894028"</f>
        <v>2020894028</v>
      </c>
      <c r="B1200" s="9">
        <v>61</v>
      </c>
      <c r="C1200" s="9">
        <f t="shared" si="54"/>
        <v>18.3</v>
      </c>
      <c r="D1200" s="10">
        <v>83</v>
      </c>
      <c r="E1200" s="9">
        <f t="shared" si="55"/>
        <v>58.1</v>
      </c>
      <c r="F1200" s="9">
        <f t="shared" si="56"/>
        <v>76.4</v>
      </c>
    </row>
    <row r="1201" s="1" customFormat="1" spans="1:6">
      <c r="A1201" s="8" t="str">
        <f>"2020894029"</f>
        <v>2020894029</v>
      </c>
      <c r="B1201" s="9">
        <v>52</v>
      </c>
      <c r="C1201" s="9">
        <f t="shared" si="54"/>
        <v>15.6</v>
      </c>
      <c r="D1201" s="10">
        <v>77</v>
      </c>
      <c r="E1201" s="9">
        <f t="shared" si="55"/>
        <v>53.9</v>
      </c>
      <c r="F1201" s="9">
        <f t="shared" si="56"/>
        <v>69.5</v>
      </c>
    </row>
    <row r="1202" s="1" customFormat="1" spans="1:6">
      <c r="A1202" s="8" t="str">
        <f>"2020894030"</f>
        <v>2020894030</v>
      </c>
      <c r="B1202" s="9">
        <v>74</v>
      </c>
      <c r="C1202" s="9">
        <f t="shared" si="54"/>
        <v>22.2</v>
      </c>
      <c r="D1202" s="10">
        <v>86</v>
      </c>
      <c r="E1202" s="9">
        <f t="shared" si="55"/>
        <v>60.2</v>
      </c>
      <c r="F1202" s="9">
        <f t="shared" si="56"/>
        <v>82.4</v>
      </c>
    </row>
    <row r="1203" s="1" customFormat="1" spans="1:6">
      <c r="A1203" s="8" t="str">
        <f>"2020894101"</f>
        <v>2020894101</v>
      </c>
      <c r="B1203" s="9">
        <v>0</v>
      </c>
      <c r="C1203" s="9">
        <f t="shared" si="54"/>
        <v>0</v>
      </c>
      <c r="D1203" s="10">
        <v>0</v>
      </c>
      <c r="E1203" s="9">
        <f t="shared" si="55"/>
        <v>0</v>
      </c>
      <c r="F1203" s="9">
        <f t="shared" si="56"/>
        <v>0</v>
      </c>
    </row>
    <row r="1204" s="1" customFormat="1" spans="1:6">
      <c r="A1204" s="8" t="str">
        <f>"2020894102"</f>
        <v>2020894102</v>
      </c>
      <c r="B1204" s="9">
        <v>69</v>
      </c>
      <c r="C1204" s="9">
        <f t="shared" si="54"/>
        <v>20.7</v>
      </c>
      <c r="D1204" s="10">
        <v>71</v>
      </c>
      <c r="E1204" s="9">
        <f t="shared" si="55"/>
        <v>49.7</v>
      </c>
      <c r="F1204" s="9">
        <f t="shared" si="56"/>
        <v>70.4</v>
      </c>
    </row>
    <row r="1205" s="1" customFormat="1" spans="1:6">
      <c r="A1205" s="8" t="str">
        <f>"2020894103"</f>
        <v>2020894103</v>
      </c>
      <c r="B1205" s="9">
        <v>59</v>
      </c>
      <c r="C1205" s="9">
        <f t="shared" si="54"/>
        <v>17.7</v>
      </c>
      <c r="D1205" s="10">
        <v>76</v>
      </c>
      <c r="E1205" s="9">
        <f t="shared" si="55"/>
        <v>53.2</v>
      </c>
      <c r="F1205" s="9">
        <f t="shared" si="56"/>
        <v>70.9</v>
      </c>
    </row>
    <row r="1206" s="1" customFormat="1" spans="1:6">
      <c r="A1206" s="8" t="str">
        <f>"2020894104"</f>
        <v>2020894104</v>
      </c>
      <c r="B1206" s="9">
        <v>68</v>
      </c>
      <c r="C1206" s="9">
        <f t="shared" si="54"/>
        <v>20.4</v>
      </c>
      <c r="D1206" s="10">
        <v>75</v>
      </c>
      <c r="E1206" s="9">
        <f t="shared" si="55"/>
        <v>52.5</v>
      </c>
      <c r="F1206" s="9">
        <f t="shared" si="56"/>
        <v>72.9</v>
      </c>
    </row>
    <row r="1207" s="1" customFormat="1" spans="1:6">
      <c r="A1207" s="8" t="str">
        <f>"2020894105"</f>
        <v>2020894105</v>
      </c>
      <c r="B1207" s="9">
        <v>60</v>
      </c>
      <c r="C1207" s="9">
        <f t="shared" si="54"/>
        <v>18</v>
      </c>
      <c r="D1207" s="10">
        <v>51</v>
      </c>
      <c r="E1207" s="9">
        <f t="shared" si="55"/>
        <v>35.7</v>
      </c>
      <c r="F1207" s="9">
        <f t="shared" si="56"/>
        <v>53.7</v>
      </c>
    </row>
    <row r="1208" s="1" customFormat="1" spans="1:6">
      <c r="A1208" s="8" t="str">
        <f>"2020894106"</f>
        <v>2020894106</v>
      </c>
      <c r="B1208" s="9">
        <v>0</v>
      </c>
      <c r="C1208" s="9">
        <f t="shared" si="54"/>
        <v>0</v>
      </c>
      <c r="D1208" s="10">
        <v>0</v>
      </c>
      <c r="E1208" s="9">
        <f t="shared" si="55"/>
        <v>0</v>
      </c>
      <c r="F1208" s="9">
        <f t="shared" si="56"/>
        <v>0</v>
      </c>
    </row>
    <row r="1209" s="1" customFormat="1" spans="1:6">
      <c r="A1209" s="8" t="str">
        <f>"2020894107"</f>
        <v>2020894107</v>
      </c>
      <c r="B1209" s="9">
        <v>0</v>
      </c>
      <c r="C1209" s="9">
        <f t="shared" si="54"/>
        <v>0</v>
      </c>
      <c r="D1209" s="10">
        <v>0</v>
      </c>
      <c r="E1209" s="9">
        <f t="shared" si="55"/>
        <v>0</v>
      </c>
      <c r="F1209" s="9">
        <f t="shared" si="56"/>
        <v>0</v>
      </c>
    </row>
    <row r="1210" s="1" customFormat="1" spans="1:6">
      <c r="A1210" s="8" t="str">
        <f>"2020894108"</f>
        <v>2020894108</v>
      </c>
      <c r="B1210" s="9">
        <v>58</v>
      </c>
      <c r="C1210" s="9">
        <f t="shared" si="54"/>
        <v>17.4</v>
      </c>
      <c r="D1210" s="10">
        <v>73</v>
      </c>
      <c r="E1210" s="9">
        <f t="shared" si="55"/>
        <v>51.1</v>
      </c>
      <c r="F1210" s="9">
        <f t="shared" si="56"/>
        <v>68.5</v>
      </c>
    </row>
    <row r="1211" s="1" customFormat="1" spans="1:6">
      <c r="A1211" s="8" t="str">
        <f>"2020894109"</f>
        <v>2020894109</v>
      </c>
      <c r="B1211" s="9">
        <v>72</v>
      </c>
      <c r="C1211" s="9">
        <f t="shared" si="54"/>
        <v>21.6</v>
      </c>
      <c r="D1211" s="10">
        <v>75</v>
      </c>
      <c r="E1211" s="9">
        <f t="shared" si="55"/>
        <v>52.5</v>
      </c>
      <c r="F1211" s="9">
        <f t="shared" si="56"/>
        <v>74.1</v>
      </c>
    </row>
    <row r="1212" s="1" customFormat="1" spans="1:6">
      <c r="A1212" s="8" t="str">
        <f>"2020894110"</f>
        <v>2020894110</v>
      </c>
      <c r="B1212" s="9">
        <v>78</v>
      </c>
      <c r="C1212" s="9">
        <f t="shared" si="54"/>
        <v>23.4</v>
      </c>
      <c r="D1212" s="10">
        <v>69</v>
      </c>
      <c r="E1212" s="9">
        <f t="shared" si="55"/>
        <v>48.3</v>
      </c>
      <c r="F1212" s="9">
        <f t="shared" si="56"/>
        <v>71.7</v>
      </c>
    </row>
    <row r="1213" s="1" customFormat="1" spans="1:6">
      <c r="A1213" s="8" t="str">
        <f>"2020894111"</f>
        <v>2020894111</v>
      </c>
      <c r="B1213" s="9">
        <v>65</v>
      </c>
      <c r="C1213" s="9">
        <f t="shared" si="54"/>
        <v>19.5</v>
      </c>
      <c r="D1213" s="10">
        <v>65</v>
      </c>
      <c r="E1213" s="9">
        <f t="shared" si="55"/>
        <v>45.5</v>
      </c>
      <c r="F1213" s="9">
        <f t="shared" si="56"/>
        <v>65</v>
      </c>
    </row>
    <row r="1214" s="1" customFormat="1" spans="1:6">
      <c r="A1214" s="8" t="str">
        <f>"2020894112"</f>
        <v>2020894112</v>
      </c>
      <c r="B1214" s="9">
        <v>69</v>
      </c>
      <c r="C1214" s="9">
        <f t="shared" si="54"/>
        <v>20.7</v>
      </c>
      <c r="D1214" s="10">
        <v>71</v>
      </c>
      <c r="E1214" s="9">
        <f t="shared" si="55"/>
        <v>49.7</v>
      </c>
      <c r="F1214" s="9">
        <f t="shared" si="56"/>
        <v>70.4</v>
      </c>
    </row>
    <row r="1215" s="1" customFormat="1" spans="1:6">
      <c r="A1215" s="8" t="str">
        <f>"2020894113"</f>
        <v>2020894113</v>
      </c>
      <c r="B1215" s="9">
        <v>67</v>
      </c>
      <c r="C1215" s="9">
        <f t="shared" si="54"/>
        <v>20.1</v>
      </c>
      <c r="D1215" s="10">
        <v>64</v>
      </c>
      <c r="E1215" s="9">
        <f t="shared" si="55"/>
        <v>44.8</v>
      </c>
      <c r="F1215" s="9">
        <f t="shared" si="56"/>
        <v>64.9</v>
      </c>
    </row>
    <row r="1216" s="1" customFormat="1" spans="1:6">
      <c r="A1216" s="8" t="str">
        <f>"2020894114"</f>
        <v>2020894114</v>
      </c>
      <c r="B1216" s="9">
        <v>72</v>
      </c>
      <c r="C1216" s="9">
        <f t="shared" si="54"/>
        <v>21.6</v>
      </c>
      <c r="D1216" s="10">
        <v>76</v>
      </c>
      <c r="E1216" s="9">
        <f t="shared" si="55"/>
        <v>53.2</v>
      </c>
      <c r="F1216" s="9">
        <f t="shared" si="56"/>
        <v>74.8</v>
      </c>
    </row>
    <row r="1217" s="1" customFormat="1" spans="1:6">
      <c r="A1217" s="8" t="str">
        <f>"2020894115"</f>
        <v>2020894115</v>
      </c>
      <c r="B1217" s="9">
        <v>68</v>
      </c>
      <c r="C1217" s="9">
        <f t="shared" si="54"/>
        <v>20.4</v>
      </c>
      <c r="D1217" s="10">
        <v>89</v>
      </c>
      <c r="E1217" s="9">
        <f t="shared" si="55"/>
        <v>62.3</v>
      </c>
      <c r="F1217" s="9">
        <f t="shared" si="56"/>
        <v>82.7</v>
      </c>
    </row>
    <row r="1218" s="1" customFormat="1" spans="1:6">
      <c r="A1218" s="8" t="str">
        <f>"2020894116"</f>
        <v>2020894116</v>
      </c>
      <c r="B1218" s="9">
        <v>64</v>
      </c>
      <c r="C1218" s="9">
        <f t="shared" si="54"/>
        <v>19.2</v>
      </c>
      <c r="D1218" s="10">
        <v>87</v>
      </c>
      <c r="E1218" s="9">
        <f t="shared" si="55"/>
        <v>60.9</v>
      </c>
      <c r="F1218" s="9">
        <f t="shared" si="56"/>
        <v>80.1</v>
      </c>
    </row>
    <row r="1219" s="1" customFormat="1" spans="1:6">
      <c r="A1219" s="8" t="str">
        <f>"2020894117"</f>
        <v>2020894117</v>
      </c>
      <c r="B1219" s="9">
        <v>0</v>
      </c>
      <c r="C1219" s="9">
        <f t="shared" ref="C1219:C1282" si="57">B1219*0.3</f>
        <v>0</v>
      </c>
      <c r="D1219" s="10">
        <v>0</v>
      </c>
      <c r="E1219" s="9">
        <f t="shared" ref="E1219:E1282" si="58">D1219*0.7</f>
        <v>0</v>
      </c>
      <c r="F1219" s="9">
        <f t="shared" ref="F1219:F1282" si="59">C1219+E1219</f>
        <v>0</v>
      </c>
    </row>
    <row r="1220" s="1" customFormat="1" spans="1:6">
      <c r="A1220" s="8" t="str">
        <f>"2020894118"</f>
        <v>2020894118</v>
      </c>
      <c r="B1220" s="9">
        <v>76</v>
      </c>
      <c r="C1220" s="9">
        <f t="shared" si="57"/>
        <v>22.8</v>
      </c>
      <c r="D1220" s="10">
        <v>75</v>
      </c>
      <c r="E1220" s="9">
        <f t="shared" si="58"/>
        <v>52.5</v>
      </c>
      <c r="F1220" s="9">
        <f t="shared" si="59"/>
        <v>75.3</v>
      </c>
    </row>
    <row r="1221" s="1" customFormat="1" spans="1:6">
      <c r="A1221" s="8" t="str">
        <f>"2020894119"</f>
        <v>2020894119</v>
      </c>
      <c r="B1221" s="9">
        <v>66</v>
      </c>
      <c r="C1221" s="9">
        <f t="shared" si="57"/>
        <v>19.8</v>
      </c>
      <c r="D1221" s="10">
        <v>86</v>
      </c>
      <c r="E1221" s="9">
        <f t="shared" si="58"/>
        <v>60.2</v>
      </c>
      <c r="F1221" s="9">
        <f t="shared" si="59"/>
        <v>80</v>
      </c>
    </row>
    <row r="1222" s="1" customFormat="1" spans="1:6">
      <c r="A1222" s="8" t="str">
        <f>"2020894120"</f>
        <v>2020894120</v>
      </c>
      <c r="B1222" s="9">
        <v>73</v>
      </c>
      <c r="C1222" s="9">
        <f t="shared" si="57"/>
        <v>21.9</v>
      </c>
      <c r="D1222" s="10">
        <v>75</v>
      </c>
      <c r="E1222" s="9">
        <f t="shared" si="58"/>
        <v>52.5</v>
      </c>
      <c r="F1222" s="9">
        <f t="shared" si="59"/>
        <v>74.4</v>
      </c>
    </row>
    <row r="1223" s="1" customFormat="1" spans="1:6">
      <c r="A1223" s="8" t="str">
        <f>"2020894121"</f>
        <v>2020894121</v>
      </c>
      <c r="B1223" s="9">
        <v>78</v>
      </c>
      <c r="C1223" s="9">
        <f t="shared" si="57"/>
        <v>23.4</v>
      </c>
      <c r="D1223" s="10">
        <v>64</v>
      </c>
      <c r="E1223" s="9">
        <f t="shared" si="58"/>
        <v>44.8</v>
      </c>
      <c r="F1223" s="9">
        <f t="shared" si="59"/>
        <v>68.2</v>
      </c>
    </row>
    <row r="1224" s="1" customFormat="1" spans="1:6">
      <c r="A1224" s="8" t="str">
        <f>"2020894122"</f>
        <v>2020894122</v>
      </c>
      <c r="B1224" s="9">
        <v>57</v>
      </c>
      <c r="C1224" s="9">
        <f t="shared" si="57"/>
        <v>17.1</v>
      </c>
      <c r="D1224" s="10">
        <v>72</v>
      </c>
      <c r="E1224" s="9">
        <f t="shared" si="58"/>
        <v>50.4</v>
      </c>
      <c r="F1224" s="9">
        <f t="shared" si="59"/>
        <v>67.5</v>
      </c>
    </row>
    <row r="1225" s="1" customFormat="1" spans="1:6">
      <c r="A1225" s="8" t="str">
        <f>"2020894123"</f>
        <v>2020894123</v>
      </c>
      <c r="B1225" s="9">
        <v>63</v>
      </c>
      <c r="C1225" s="9">
        <f t="shared" si="57"/>
        <v>18.9</v>
      </c>
      <c r="D1225" s="10">
        <v>74</v>
      </c>
      <c r="E1225" s="9">
        <f t="shared" si="58"/>
        <v>51.8</v>
      </c>
      <c r="F1225" s="9">
        <f t="shared" si="59"/>
        <v>70.7</v>
      </c>
    </row>
    <row r="1226" s="1" customFormat="1" spans="1:6">
      <c r="A1226" s="8" t="str">
        <f>"2020894124"</f>
        <v>2020894124</v>
      </c>
      <c r="B1226" s="9">
        <v>0</v>
      </c>
      <c r="C1226" s="9">
        <f t="shared" si="57"/>
        <v>0</v>
      </c>
      <c r="D1226" s="10">
        <v>0</v>
      </c>
      <c r="E1226" s="9">
        <f t="shared" si="58"/>
        <v>0</v>
      </c>
      <c r="F1226" s="9">
        <f t="shared" si="59"/>
        <v>0</v>
      </c>
    </row>
    <row r="1227" s="1" customFormat="1" spans="1:6">
      <c r="A1227" s="8" t="str">
        <f>"2020894125"</f>
        <v>2020894125</v>
      </c>
      <c r="B1227" s="9">
        <v>49</v>
      </c>
      <c r="C1227" s="9">
        <f t="shared" si="57"/>
        <v>14.7</v>
      </c>
      <c r="D1227" s="10">
        <v>77</v>
      </c>
      <c r="E1227" s="9">
        <f t="shared" si="58"/>
        <v>53.9</v>
      </c>
      <c r="F1227" s="9">
        <f t="shared" si="59"/>
        <v>68.6</v>
      </c>
    </row>
    <row r="1228" s="1" customFormat="1" spans="1:6">
      <c r="A1228" s="8" t="str">
        <f>"2020894126"</f>
        <v>2020894126</v>
      </c>
      <c r="B1228" s="9">
        <v>57</v>
      </c>
      <c r="C1228" s="9">
        <f t="shared" si="57"/>
        <v>17.1</v>
      </c>
      <c r="D1228" s="10">
        <v>90</v>
      </c>
      <c r="E1228" s="9">
        <f t="shared" si="58"/>
        <v>63</v>
      </c>
      <c r="F1228" s="9">
        <f t="shared" si="59"/>
        <v>80.1</v>
      </c>
    </row>
    <row r="1229" s="1" customFormat="1" spans="1:6">
      <c r="A1229" s="8" t="str">
        <f>"2020894127"</f>
        <v>2020894127</v>
      </c>
      <c r="B1229" s="9">
        <v>76</v>
      </c>
      <c r="C1229" s="9">
        <f t="shared" si="57"/>
        <v>22.8</v>
      </c>
      <c r="D1229" s="10">
        <v>68</v>
      </c>
      <c r="E1229" s="9">
        <f t="shared" si="58"/>
        <v>47.6</v>
      </c>
      <c r="F1229" s="9">
        <f t="shared" si="59"/>
        <v>70.4</v>
      </c>
    </row>
    <row r="1230" s="1" customFormat="1" spans="1:6">
      <c r="A1230" s="8" t="str">
        <f>"2020894128"</f>
        <v>2020894128</v>
      </c>
      <c r="B1230" s="9">
        <v>83</v>
      </c>
      <c r="C1230" s="9">
        <f t="shared" si="57"/>
        <v>24.9</v>
      </c>
      <c r="D1230" s="10">
        <v>76</v>
      </c>
      <c r="E1230" s="9">
        <f t="shared" si="58"/>
        <v>53.2</v>
      </c>
      <c r="F1230" s="9">
        <f t="shared" si="59"/>
        <v>78.1</v>
      </c>
    </row>
    <row r="1231" s="1" customFormat="1" spans="1:6">
      <c r="A1231" s="8" t="str">
        <f>"2020894129"</f>
        <v>2020894129</v>
      </c>
      <c r="B1231" s="9">
        <v>67</v>
      </c>
      <c r="C1231" s="9">
        <f t="shared" si="57"/>
        <v>20.1</v>
      </c>
      <c r="D1231" s="10">
        <v>58</v>
      </c>
      <c r="E1231" s="9">
        <f t="shared" si="58"/>
        <v>40.6</v>
      </c>
      <c r="F1231" s="9">
        <f t="shared" si="59"/>
        <v>60.7</v>
      </c>
    </row>
    <row r="1232" s="1" customFormat="1" spans="1:6">
      <c r="A1232" s="8" t="str">
        <f>"2020894130"</f>
        <v>2020894130</v>
      </c>
      <c r="B1232" s="9">
        <v>74</v>
      </c>
      <c r="C1232" s="9">
        <f t="shared" si="57"/>
        <v>22.2</v>
      </c>
      <c r="D1232" s="10">
        <v>92</v>
      </c>
      <c r="E1232" s="9">
        <f t="shared" si="58"/>
        <v>64.4</v>
      </c>
      <c r="F1232" s="9">
        <f t="shared" si="59"/>
        <v>86.6</v>
      </c>
    </row>
    <row r="1233" s="1" customFormat="1" spans="1:6">
      <c r="A1233" s="8" t="str">
        <f>"2020894201"</f>
        <v>2020894201</v>
      </c>
      <c r="B1233" s="9">
        <v>60</v>
      </c>
      <c r="C1233" s="9">
        <f t="shared" si="57"/>
        <v>18</v>
      </c>
      <c r="D1233" s="10">
        <v>85</v>
      </c>
      <c r="E1233" s="9">
        <f t="shared" si="58"/>
        <v>59.5</v>
      </c>
      <c r="F1233" s="9">
        <f t="shared" si="59"/>
        <v>77.5</v>
      </c>
    </row>
    <row r="1234" s="1" customFormat="1" spans="1:6">
      <c r="A1234" s="8" t="str">
        <f>"2020894202"</f>
        <v>2020894202</v>
      </c>
      <c r="B1234" s="9">
        <v>0</v>
      </c>
      <c r="C1234" s="9">
        <f t="shared" si="57"/>
        <v>0</v>
      </c>
      <c r="D1234" s="10">
        <v>0</v>
      </c>
      <c r="E1234" s="9">
        <f t="shared" si="58"/>
        <v>0</v>
      </c>
      <c r="F1234" s="9">
        <f t="shared" si="59"/>
        <v>0</v>
      </c>
    </row>
    <row r="1235" s="1" customFormat="1" spans="1:6">
      <c r="A1235" s="8" t="str">
        <f>"2020894203"</f>
        <v>2020894203</v>
      </c>
      <c r="B1235" s="9">
        <v>0</v>
      </c>
      <c r="C1235" s="9">
        <f t="shared" si="57"/>
        <v>0</v>
      </c>
      <c r="D1235" s="10">
        <v>0</v>
      </c>
      <c r="E1235" s="9">
        <f t="shared" si="58"/>
        <v>0</v>
      </c>
      <c r="F1235" s="9">
        <f t="shared" si="59"/>
        <v>0</v>
      </c>
    </row>
    <row r="1236" s="1" customFormat="1" spans="1:6">
      <c r="A1236" s="8" t="str">
        <f>"2020894204"</f>
        <v>2020894204</v>
      </c>
      <c r="B1236" s="9">
        <v>70</v>
      </c>
      <c r="C1236" s="9">
        <f t="shared" si="57"/>
        <v>21</v>
      </c>
      <c r="D1236" s="10">
        <v>77</v>
      </c>
      <c r="E1236" s="9">
        <f t="shared" si="58"/>
        <v>53.9</v>
      </c>
      <c r="F1236" s="9">
        <f t="shared" si="59"/>
        <v>74.9</v>
      </c>
    </row>
    <row r="1237" s="1" customFormat="1" spans="1:6">
      <c r="A1237" s="8" t="str">
        <f>"2020894205"</f>
        <v>2020894205</v>
      </c>
      <c r="B1237" s="9">
        <v>58</v>
      </c>
      <c r="C1237" s="9">
        <f t="shared" si="57"/>
        <v>17.4</v>
      </c>
      <c r="D1237" s="10">
        <v>61</v>
      </c>
      <c r="E1237" s="9">
        <f t="shared" si="58"/>
        <v>42.7</v>
      </c>
      <c r="F1237" s="9">
        <f t="shared" si="59"/>
        <v>60.1</v>
      </c>
    </row>
    <row r="1238" s="1" customFormat="1" spans="1:6">
      <c r="A1238" s="8" t="str">
        <f>"2020894206"</f>
        <v>2020894206</v>
      </c>
      <c r="B1238" s="9">
        <v>73</v>
      </c>
      <c r="C1238" s="9">
        <f t="shared" si="57"/>
        <v>21.9</v>
      </c>
      <c r="D1238" s="10">
        <v>82</v>
      </c>
      <c r="E1238" s="9">
        <f t="shared" si="58"/>
        <v>57.4</v>
      </c>
      <c r="F1238" s="9">
        <f t="shared" si="59"/>
        <v>79.3</v>
      </c>
    </row>
    <row r="1239" s="1" customFormat="1" spans="1:6">
      <c r="A1239" s="8" t="str">
        <f>"2020894207"</f>
        <v>2020894207</v>
      </c>
      <c r="B1239" s="9">
        <v>77</v>
      </c>
      <c r="C1239" s="9">
        <f t="shared" si="57"/>
        <v>23.1</v>
      </c>
      <c r="D1239" s="10">
        <v>78</v>
      </c>
      <c r="E1239" s="9">
        <f t="shared" si="58"/>
        <v>54.6</v>
      </c>
      <c r="F1239" s="9">
        <f t="shared" si="59"/>
        <v>77.7</v>
      </c>
    </row>
    <row r="1240" s="1" customFormat="1" spans="1:6">
      <c r="A1240" s="8" t="str">
        <f>"2020894208"</f>
        <v>2020894208</v>
      </c>
      <c r="B1240" s="9">
        <v>0</v>
      </c>
      <c r="C1240" s="9">
        <f t="shared" si="57"/>
        <v>0</v>
      </c>
      <c r="D1240" s="10">
        <v>0</v>
      </c>
      <c r="E1240" s="9">
        <f t="shared" si="58"/>
        <v>0</v>
      </c>
      <c r="F1240" s="9">
        <f t="shared" si="59"/>
        <v>0</v>
      </c>
    </row>
    <row r="1241" s="1" customFormat="1" spans="1:6">
      <c r="A1241" s="8" t="str">
        <f>"2020894209"</f>
        <v>2020894209</v>
      </c>
      <c r="B1241" s="9">
        <v>61</v>
      </c>
      <c r="C1241" s="9">
        <f t="shared" si="57"/>
        <v>18.3</v>
      </c>
      <c r="D1241" s="10">
        <v>69</v>
      </c>
      <c r="E1241" s="9">
        <f t="shared" si="58"/>
        <v>48.3</v>
      </c>
      <c r="F1241" s="9">
        <f t="shared" si="59"/>
        <v>66.6</v>
      </c>
    </row>
    <row r="1242" s="1" customFormat="1" spans="1:6">
      <c r="A1242" s="8" t="str">
        <f>"2020894210"</f>
        <v>2020894210</v>
      </c>
      <c r="B1242" s="9">
        <v>0</v>
      </c>
      <c r="C1242" s="9">
        <f t="shared" si="57"/>
        <v>0</v>
      </c>
      <c r="D1242" s="10">
        <v>0</v>
      </c>
      <c r="E1242" s="9">
        <f t="shared" si="58"/>
        <v>0</v>
      </c>
      <c r="F1242" s="9">
        <f t="shared" si="59"/>
        <v>0</v>
      </c>
    </row>
    <row r="1243" s="1" customFormat="1" spans="1:6">
      <c r="A1243" s="8" t="str">
        <f>"2020894211"</f>
        <v>2020894211</v>
      </c>
      <c r="B1243" s="9">
        <v>74</v>
      </c>
      <c r="C1243" s="9">
        <f t="shared" si="57"/>
        <v>22.2</v>
      </c>
      <c r="D1243" s="10">
        <v>76</v>
      </c>
      <c r="E1243" s="9">
        <f t="shared" si="58"/>
        <v>53.2</v>
      </c>
      <c r="F1243" s="9">
        <f t="shared" si="59"/>
        <v>75.4</v>
      </c>
    </row>
    <row r="1244" s="1" customFormat="1" spans="1:6">
      <c r="A1244" s="8" t="str">
        <f>"2020894212"</f>
        <v>2020894212</v>
      </c>
      <c r="B1244" s="9">
        <v>63</v>
      </c>
      <c r="C1244" s="9">
        <f t="shared" si="57"/>
        <v>18.9</v>
      </c>
      <c r="D1244" s="10">
        <v>91</v>
      </c>
      <c r="E1244" s="9">
        <f t="shared" si="58"/>
        <v>63.7</v>
      </c>
      <c r="F1244" s="9">
        <f t="shared" si="59"/>
        <v>82.6</v>
      </c>
    </row>
    <row r="1245" s="1" customFormat="1" spans="1:6">
      <c r="A1245" s="8" t="str">
        <f>"2020894213"</f>
        <v>2020894213</v>
      </c>
      <c r="B1245" s="9">
        <v>70</v>
      </c>
      <c r="C1245" s="9">
        <f t="shared" si="57"/>
        <v>21</v>
      </c>
      <c r="D1245" s="10">
        <v>83</v>
      </c>
      <c r="E1245" s="9">
        <f t="shared" si="58"/>
        <v>58.1</v>
      </c>
      <c r="F1245" s="9">
        <f t="shared" si="59"/>
        <v>79.1</v>
      </c>
    </row>
    <row r="1246" s="1" customFormat="1" spans="1:6">
      <c r="A1246" s="8" t="str">
        <f>"2020894214"</f>
        <v>2020894214</v>
      </c>
      <c r="B1246" s="9">
        <v>70</v>
      </c>
      <c r="C1246" s="9">
        <f t="shared" si="57"/>
        <v>21</v>
      </c>
      <c r="D1246" s="10">
        <v>70</v>
      </c>
      <c r="E1246" s="9">
        <f t="shared" si="58"/>
        <v>49</v>
      </c>
      <c r="F1246" s="9">
        <f t="shared" si="59"/>
        <v>70</v>
      </c>
    </row>
    <row r="1247" s="1" customFormat="1" spans="1:6">
      <c r="A1247" s="8" t="str">
        <f>"2020894215"</f>
        <v>2020894215</v>
      </c>
      <c r="B1247" s="9">
        <v>71</v>
      </c>
      <c r="C1247" s="9">
        <f t="shared" si="57"/>
        <v>21.3</v>
      </c>
      <c r="D1247" s="10">
        <v>79</v>
      </c>
      <c r="E1247" s="9">
        <f t="shared" si="58"/>
        <v>55.3</v>
      </c>
      <c r="F1247" s="9">
        <f t="shared" si="59"/>
        <v>76.6</v>
      </c>
    </row>
    <row r="1248" s="1" customFormat="1" spans="1:6">
      <c r="A1248" s="8" t="str">
        <f>"2020894216"</f>
        <v>2020894216</v>
      </c>
      <c r="B1248" s="9">
        <v>75</v>
      </c>
      <c r="C1248" s="9">
        <f t="shared" si="57"/>
        <v>22.5</v>
      </c>
      <c r="D1248" s="10">
        <v>73</v>
      </c>
      <c r="E1248" s="9">
        <f t="shared" si="58"/>
        <v>51.1</v>
      </c>
      <c r="F1248" s="9">
        <f t="shared" si="59"/>
        <v>73.6</v>
      </c>
    </row>
    <row r="1249" s="1" customFormat="1" spans="1:6">
      <c r="A1249" s="8" t="str">
        <f>"2020894217"</f>
        <v>2020894217</v>
      </c>
      <c r="B1249" s="9">
        <v>64</v>
      </c>
      <c r="C1249" s="9">
        <f t="shared" si="57"/>
        <v>19.2</v>
      </c>
      <c r="D1249" s="10">
        <v>77</v>
      </c>
      <c r="E1249" s="9">
        <f t="shared" si="58"/>
        <v>53.9</v>
      </c>
      <c r="F1249" s="9">
        <f t="shared" si="59"/>
        <v>73.1</v>
      </c>
    </row>
    <row r="1250" s="1" customFormat="1" spans="1:6">
      <c r="A1250" s="8" t="str">
        <f>"2020894218"</f>
        <v>2020894218</v>
      </c>
      <c r="B1250" s="9">
        <v>66</v>
      </c>
      <c r="C1250" s="9">
        <f t="shared" si="57"/>
        <v>19.8</v>
      </c>
      <c r="D1250" s="10">
        <v>64</v>
      </c>
      <c r="E1250" s="9">
        <f t="shared" si="58"/>
        <v>44.8</v>
      </c>
      <c r="F1250" s="9">
        <f t="shared" si="59"/>
        <v>64.6</v>
      </c>
    </row>
    <row r="1251" s="1" customFormat="1" spans="1:6">
      <c r="A1251" s="8" t="str">
        <f>"2020894219"</f>
        <v>2020894219</v>
      </c>
      <c r="B1251" s="9">
        <v>71</v>
      </c>
      <c r="C1251" s="9">
        <f t="shared" si="57"/>
        <v>21.3</v>
      </c>
      <c r="D1251" s="10">
        <v>61</v>
      </c>
      <c r="E1251" s="9">
        <f t="shared" si="58"/>
        <v>42.7</v>
      </c>
      <c r="F1251" s="9">
        <f t="shared" si="59"/>
        <v>64</v>
      </c>
    </row>
    <row r="1252" s="1" customFormat="1" spans="1:6">
      <c r="A1252" s="8" t="str">
        <f>"2020894220"</f>
        <v>2020894220</v>
      </c>
      <c r="B1252" s="9">
        <v>47</v>
      </c>
      <c r="C1252" s="9">
        <f t="shared" si="57"/>
        <v>14.1</v>
      </c>
      <c r="D1252" s="10">
        <v>73</v>
      </c>
      <c r="E1252" s="9">
        <f t="shared" si="58"/>
        <v>51.1</v>
      </c>
      <c r="F1252" s="9">
        <f t="shared" si="59"/>
        <v>65.2</v>
      </c>
    </row>
    <row r="1253" s="1" customFormat="1" spans="1:6">
      <c r="A1253" s="8" t="str">
        <f>"2020894221"</f>
        <v>2020894221</v>
      </c>
      <c r="B1253" s="9">
        <v>0</v>
      </c>
      <c r="C1253" s="9">
        <f t="shared" si="57"/>
        <v>0</v>
      </c>
      <c r="D1253" s="10">
        <v>0</v>
      </c>
      <c r="E1253" s="9">
        <f t="shared" si="58"/>
        <v>0</v>
      </c>
      <c r="F1253" s="9">
        <f t="shared" si="59"/>
        <v>0</v>
      </c>
    </row>
    <row r="1254" s="1" customFormat="1" spans="1:6">
      <c r="A1254" s="8" t="str">
        <f>"2020894222"</f>
        <v>2020894222</v>
      </c>
      <c r="B1254" s="9">
        <v>72</v>
      </c>
      <c r="C1254" s="9">
        <f t="shared" si="57"/>
        <v>21.6</v>
      </c>
      <c r="D1254" s="10">
        <v>85</v>
      </c>
      <c r="E1254" s="9">
        <f t="shared" si="58"/>
        <v>59.5</v>
      </c>
      <c r="F1254" s="9">
        <f t="shared" si="59"/>
        <v>81.1</v>
      </c>
    </row>
    <row r="1255" s="1" customFormat="1" spans="1:6">
      <c r="A1255" s="8" t="str">
        <f>"2020894223"</f>
        <v>2020894223</v>
      </c>
      <c r="B1255" s="9">
        <v>0</v>
      </c>
      <c r="C1255" s="9">
        <f t="shared" si="57"/>
        <v>0</v>
      </c>
      <c r="D1255" s="10">
        <v>0</v>
      </c>
      <c r="E1255" s="9">
        <f t="shared" si="58"/>
        <v>0</v>
      </c>
      <c r="F1255" s="9">
        <f t="shared" si="59"/>
        <v>0</v>
      </c>
    </row>
    <row r="1256" s="1" customFormat="1" spans="1:6">
      <c r="A1256" s="8" t="str">
        <f>"2020894224"</f>
        <v>2020894224</v>
      </c>
      <c r="B1256" s="9">
        <v>55</v>
      </c>
      <c r="C1256" s="9">
        <f t="shared" si="57"/>
        <v>16.5</v>
      </c>
      <c r="D1256" s="10">
        <v>71</v>
      </c>
      <c r="E1256" s="9">
        <f t="shared" si="58"/>
        <v>49.7</v>
      </c>
      <c r="F1256" s="9">
        <f t="shared" si="59"/>
        <v>66.2</v>
      </c>
    </row>
    <row r="1257" s="1" customFormat="1" spans="1:6">
      <c r="A1257" s="8" t="str">
        <f>"2020894225"</f>
        <v>2020894225</v>
      </c>
      <c r="B1257" s="9">
        <v>53</v>
      </c>
      <c r="C1257" s="9">
        <f t="shared" si="57"/>
        <v>15.9</v>
      </c>
      <c r="D1257" s="10">
        <v>59</v>
      </c>
      <c r="E1257" s="9">
        <f t="shared" si="58"/>
        <v>41.3</v>
      </c>
      <c r="F1257" s="9">
        <f t="shared" si="59"/>
        <v>57.2</v>
      </c>
    </row>
    <row r="1258" s="1" customFormat="1" spans="1:6">
      <c r="A1258" s="8" t="str">
        <f>"2020894226"</f>
        <v>2020894226</v>
      </c>
      <c r="B1258" s="9">
        <v>54</v>
      </c>
      <c r="C1258" s="9">
        <f t="shared" si="57"/>
        <v>16.2</v>
      </c>
      <c r="D1258" s="10">
        <v>58</v>
      </c>
      <c r="E1258" s="9">
        <f t="shared" si="58"/>
        <v>40.6</v>
      </c>
      <c r="F1258" s="9">
        <f t="shared" si="59"/>
        <v>56.8</v>
      </c>
    </row>
    <row r="1259" s="1" customFormat="1" spans="1:6">
      <c r="A1259" s="8" t="str">
        <f>"2020894227"</f>
        <v>2020894227</v>
      </c>
      <c r="B1259" s="9">
        <v>79</v>
      </c>
      <c r="C1259" s="9">
        <f t="shared" si="57"/>
        <v>23.7</v>
      </c>
      <c r="D1259" s="10">
        <v>69</v>
      </c>
      <c r="E1259" s="9">
        <f t="shared" si="58"/>
        <v>48.3</v>
      </c>
      <c r="F1259" s="9">
        <f t="shared" si="59"/>
        <v>72</v>
      </c>
    </row>
    <row r="1260" s="1" customFormat="1" spans="1:6">
      <c r="A1260" s="8" t="str">
        <f>"2020894228"</f>
        <v>2020894228</v>
      </c>
      <c r="B1260" s="9">
        <v>0</v>
      </c>
      <c r="C1260" s="9">
        <f t="shared" si="57"/>
        <v>0</v>
      </c>
      <c r="D1260" s="10">
        <v>0</v>
      </c>
      <c r="E1260" s="9">
        <f t="shared" si="58"/>
        <v>0</v>
      </c>
      <c r="F1260" s="9">
        <f t="shared" si="59"/>
        <v>0</v>
      </c>
    </row>
    <row r="1261" s="1" customFormat="1" spans="1:6">
      <c r="A1261" s="8" t="str">
        <f>"2020894229"</f>
        <v>2020894229</v>
      </c>
      <c r="B1261" s="9">
        <v>76</v>
      </c>
      <c r="C1261" s="9">
        <f t="shared" si="57"/>
        <v>22.8</v>
      </c>
      <c r="D1261" s="10">
        <v>65</v>
      </c>
      <c r="E1261" s="9">
        <f t="shared" si="58"/>
        <v>45.5</v>
      </c>
      <c r="F1261" s="9">
        <f t="shared" si="59"/>
        <v>68.3</v>
      </c>
    </row>
    <row r="1262" s="1" customFormat="1" spans="1:6">
      <c r="A1262" s="8" t="str">
        <f>"2020894230"</f>
        <v>2020894230</v>
      </c>
      <c r="B1262" s="9">
        <v>0</v>
      </c>
      <c r="C1262" s="9">
        <f t="shared" si="57"/>
        <v>0</v>
      </c>
      <c r="D1262" s="10">
        <v>0</v>
      </c>
      <c r="E1262" s="9">
        <f t="shared" si="58"/>
        <v>0</v>
      </c>
      <c r="F1262" s="9">
        <f t="shared" si="59"/>
        <v>0</v>
      </c>
    </row>
    <row r="1263" s="1" customFormat="1" spans="1:6">
      <c r="A1263" s="8" t="str">
        <f>"2020894301"</f>
        <v>2020894301</v>
      </c>
      <c r="B1263" s="9">
        <v>0</v>
      </c>
      <c r="C1263" s="9">
        <f t="shared" si="57"/>
        <v>0</v>
      </c>
      <c r="D1263" s="10">
        <v>0</v>
      </c>
      <c r="E1263" s="9">
        <f t="shared" si="58"/>
        <v>0</v>
      </c>
      <c r="F1263" s="9">
        <f t="shared" si="59"/>
        <v>0</v>
      </c>
    </row>
    <row r="1264" s="1" customFormat="1" spans="1:6">
      <c r="A1264" s="8" t="str">
        <f>"2020894302"</f>
        <v>2020894302</v>
      </c>
      <c r="B1264" s="9">
        <v>61</v>
      </c>
      <c r="C1264" s="9">
        <f t="shared" si="57"/>
        <v>18.3</v>
      </c>
      <c r="D1264" s="10">
        <v>73</v>
      </c>
      <c r="E1264" s="9">
        <f t="shared" si="58"/>
        <v>51.1</v>
      </c>
      <c r="F1264" s="9">
        <f t="shared" si="59"/>
        <v>69.4</v>
      </c>
    </row>
    <row r="1265" s="1" customFormat="1" spans="1:6">
      <c r="A1265" s="8" t="str">
        <f>"2020894303"</f>
        <v>2020894303</v>
      </c>
      <c r="B1265" s="9">
        <v>75</v>
      </c>
      <c r="C1265" s="9">
        <f t="shared" si="57"/>
        <v>22.5</v>
      </c>
      <c r="D1265" s="10">
        <v>85</v>
      </c>
      <c r="E1265" s="9">
        <f t="shared" si="58"/>
        <v>59.5</v>
      </c>
      <c r="F1265" s="9">
        <f t="shared" si="59"/>
        <v>82</v>
      </c>
    </row>
    <row r="1266" s="1" customFormat="1" spans="1:6">
      <c r="A1266" s="8" t="str">
        <f>"2020894304"</f>
        <v>2020894304</v>
      </c>
      <c r="B1266" s="9">
        <v>62</v>
      </c>
      <c r="C1266" s="9">
        <f t="shared" si="57"/>
        <v>18.6</v>
      </c>
      <c r="D1266" s="10">
        <v>45</v>
      </c>
      <c r="E1266" s="9">
        <f t="shared" si="58"/>
        <v>31.5</v>
      </c>
      <c r="F1266" s="9">
        <f t="shared" si="59"/>
        <v>50.1</v>
      </c>
    </row>
    <row r="1267" s="1" customFormat="1" spans="1:6">
      <c r="A1267" s="8" t="str">
        <f>"2020894305"</f>
        <v>2020894305</v>
      </c>
      <c r="B1267" s="9">
        <v>79</v>
      </c>
      <c r="C1267" s="9">
        <f t="shared" si="57"/>
        <v>23.7</v>
      </c>
      <c r="D1267" s="10">
        <v>82</v>
      </c>
      <c r="E1267" s="9">
        <f t="shared" si="58"/>
        <v>57.4</v>
      </c>
      <c r="F1267" s="9">
        <f t="shared" si="59"/>
        <v>81.1</v>
      </c>
    </row>
    <row r="1268" s="1" customFormat="1" spans="1:6">
      <c r="A1268" s="8" t="str">
        <f>"2020894306"</f>
        <v>2020894306</v>
      </c>
      <c r="B1268" s="9">
        <v>74</v>
      </c>
      <c r="C1268" s="9">
        <f t="shared" si="57"/>
        <v>22.2</v>
      </c>
      <c r="D1268" s="10">
        <v>81</v>
      </c>
      <c r="E1268" s="9">
        <f t="shared" si="58"/>
        <v>56.7</v>
      </c>
      <c r="F1268" s="9">
        <f t="shared" si="59"/>
        <v>78.9</v>
      </c>
    </row>
    <row r="1269" s="1" customFormat="1" spans="1:6">
      <c r="A1269" s="8" t="str">
        <f>"2020894307"</f>
        <v>2020894307</v>
      </c>
      <c r="B1269" s="9">
        <v>55</v>
      </c>
      <c r="C1269" s="9">
        <f t="shared" si="57"/>
        <v>16.5</v>
      </c>
      <c r="D1269" s="10">
        <v>66</v>
      </c>
      <c r="E1269" s="9">
        <f t="shared" si="58"/>
        <v>46.2</v>
      </c>
      <c r="F1269" s="9">
        <f t="shared" si="59"/>
        <v>62.7</v>
      </c>
    </row>
    <row r="1270" s="1" customFormat="1" spans="1:6">
      <c r="A1270" s="8" t="str">
        <f>"2020894308"</f>
        <v>2020894308</v>
      </c>
      <c r="B1270" s="9">
        <v>66</v>
      </c>
      <c r="C1270" s="9">
        <f t="shared" si="57"/>
        <v>19.8</v>
      </c>
      <c r="D1270" s="10">
        <v>54</v>
      </c>
      <c r="E1270" s="9">
        <f t="shared" si="58"/>
        <v>37.8</v>
      </c>
      <c r="F1270" s="9">
        <f t="shared" si="59"/>
        <v>57.6</v>
      </c>
    </row>
    <row r="1271" s="1" customFormat="1" spans="1:6">
      <c r="A1271" s="8" t="str">
        <f>"2020894309"</f>
        <v>2020894309</v>
      </c>
      <c r="B1271" s="9">
        <v>71</v>
      </c>
      <c r="C1271" s="9">
        <f t="shared" si="57"/>
        <v>21.3</v>
      </c>
      <c r="D1271" s="10">
        <v>67</v>
      </c>
      <c r="E1271" s="9">
        <f t="shared" si="58"/>
        <v>46.9</v>
      </c>
      <c r="F1271" s="9">
        <f t="shared" si="59"/>
        <v>68.2</v>
      </c>
    </row>
    <row r="1272" s="1" customFormat="1" spans="1:6">
      <c r="A1272" s="8" t="str">
        <f>"2020894310"</f>
        <v>2020894310</v>
      </c>
      <c r="B1272" s="9">
        <v>64</v>
      </c>
      <c r="C1272" s="9">
        <f t="shared" si="57"/>
        <v>19.2</v>
      </c>
      <c r="D1272" s="10">
        <v>66</v>
      </c>
      <c r="E1272" s="9">
        <f t="shared" si="58"/>
        <v>46.2</v>
      </c>
      <c r="F1272" s="9">
        <f t="shared" si="59"/>
        <v>65.4</v>
      </c>
    </row>
    <row r="1273" s="1" customFormat="1" spans="1:6">
      <c r="A1273" s="8" t="str">
        <f>"2020894311"</f>
        <v>2020894311</v>
      </c>
      <c r="B1273" s="9">
        <v>59</v>
      </c>
      <c r="C1273" s="9">
        <f t="shared" si="57"/>
        <v>17.7</v>
      </c>
      <c r="D1273" s="10">
        <v>65</v>
      </c>
      <c r="E1273" s="9">
        <f t="shared" si="58"/>
        <v>45.5</v>
      </c>
      <c r="F1273" s="9">
        <f t="shared" si="59"/>
        <v>63.2</v>
      </c>
    </row>
    <row r="1274" s="1" customFormat="1" spans="1:6">
      <c r="A1274" s="8" t="str">
        <f>"2020894312"</f>
        <v>2020894312</v>
      </c>
      <c r="B1274" s="9">
        <v>58</v>
      </c>
      <c r="C1274" s="9">
        <f t="shared" si="57"/>
        <v>17.4</v>
      </c>
      <c r="D1274" s="10">
        <v>62</v>
      </c>
      <c r="E1274" s="9">
        <f t="shared" si="58"/>
        <v>43.4</v>
      </c>
      <c r="F1274" s="9">
        <f t="shared" si="59"/>
        <v>60.8</v>
      </c>
    </row>
    <row r="1275" s="1" customFormat="1" spans="1:6">
      <c r="A1275" s="8" t="str">
        <f>"2020894313"</f>
        <v>2020894313</v>
      </c>
      <c r="B1275" s="9">
        <v>0</v>
      </c>
      <c r="C1275" s="9">
        <f t="shared" si="57"/>
        <v>0</v>
      </c>
      <c r="D1275" s="10">
        <v>0</v>
      </c>
      <c r="E1275" s="9">
        <f t="shared" si="58"/>
        <v>0</v>
      </c>
      <c r="F1275" s="9">
        <f t="shared" si="59"/>
        <v>0</v>
      </c>
    </row>
    <row r="1276" s="1" customFormat="1" spans="1:6">
      <c r="A1276" s="8" t="str">
        <f>"2020894314"</f>
        <v>2020894314</v>
      </c>
      <c r="B1276" s="9">
        <v>70</v>
      </c>
      <c r="C1276" s="9">
        <f t="shared" si="57"/>
        <v>21</v>
      </c>
      <c r="D1276" s="10">
        <v>69</v>
      </c>
      <c r="E1276" s="9">
        <f t="shared" si="58"/>
        <v>48.3</v>
      </c>
      <c r="F1276" s="9">
        <f t="shared" si="59"/>
        <v>69.3</v>
      </c>
    </row>
    <row r="1277" s="1" customFormat="1" spans="1:6">
      <c r="A1277" s="8" t="str">
        <f>"2020894315"</f>
        <v>2020894315</v>
      </c>
      <c r="B1277" s="9">
        <v>41</v>
      </c>
      <c r="C1277" s="9">
        <f t="shared" si="57"/>
        <v>12.3</v>
      </c>
      <c r="D1277" s="10">
        <v>48</v>
      </c>
      <c r="E1277" s="9">
        <f t="shared" si="58"/>
        <v>33.6</v>
      </c>
      <c r="F1277" s="9">
        <f t="shared" si="59"/>
        <v>45.9</v>
      </c>
    </row>
    <row r="1278" s="1" customFormat="1" spans="1:6">
      <c r="A1278" s="8" t="str">
        <f>"2020894316"</f>
        <v>2020894316</v>
      </c>
      <c r="B1278" s="9">
        <v>63</v>
      </c>
      <c r="C1278" s="9">
        <f t="shared" si="57"/>
        <v>18.9</v>
      </c>
      <c r="D1278" s="10">
        <v>44</v>
      </c>
      <c r="E1278" s="9">
        <f t="shared" si="58"/>
        <v>30.8</v>
      </c>
      <c r="F1278" s="9">
        <f t="shared" si="59"/>
        <v>49.7</v>
      </c>
    </row>
    <row r="1279" s="1" customFormat="1" spans="1:6">
      <c r="A1279" s="8" t="str">
        <f>"2020894317"</f>
        <v>2020894317</v>
      </c>
      <c r="B1279" s="9">
        <v>0</v>
      </c>
      <c r="C1279" s="9">
        <f t="shared" si="57"/>
        <v>0</v>
      </c>
      <c r="D1279" s="10">
        <v>0</v>
      </c>
      <c r="E1279" s="9">
        <f t="shared" si="58"/>
        <v>0</v>
      </c>
      <c r="F1279" s="9">
        <f t="shared" si="59"/>
        <v>0</v>
      </c>
    </row>
    <row r="1280" s="1" customFormat="1" spans="1:6">
      <c r="A1280" s="8" t="str">
        <f>"2020894318"</f>
        <v>2020894318</v>
      </c>
      <c r="B1280" s="9">
        <v>0</v>
      </c>
      <c r="C1280" s="9">
        <f t="shared" si="57"/>
        <v>0</v>
      </c>
      <c r="D1280" s="10">
        <v>0</v>
      </c>
      <c r="E1280" s="9">
        <f t="shared" si="58"/>
        <v>0</v>
      </c>
      <c r="F1280" s="9">
        <f t="shared" si="59"/>
        <v>0</v>
      </c>
    </row>
    <row r="1281" s="1" customFormat="1" spans="1:6">
      <c r="A1281" s="8" t="str">
        <f>"2020894319"</f>
        <v>2020894319</v>
      </c>
      <c r="B1281" s="9">
        <v>0</v>
      </c>
      <c r="C1281" s="9">
        <f t="shared" si="57"/>
        <v>0</v>
      </c>
      <c r="D1281" s="10">
        <v>0</v>
      </c>
      <c r="E1281" s="9">
        <f t="shared" si="58"/>
        <v>0</v>
      </c>
      <c r="F1281" s="9">
        <f t="shared" si="59"/>
        <v>0</v>
      </c>
    </row>
    <row r="1282" s="1" customFormat="1" spans="1:6">
      <c r="A1282" s="8" t="str">
        <f>"2020894320"</f>
        <v>2020894320</v>
      </c>
      <c r="B1282" s="9">
        <v>64</v>
      </c>
      <c r="C1282" s="9">
        <f t="shared" si="57"/>
        <v>19.2</v>
      </c>
      <c r="D1282" s="10">
        <v>77</v>
      </c>
      <c r="E1282" s="9">
        <f t="shared" si="58"/>
        <v>53.9</v>
      </c>
      <c r="F1282" s="9">
        <f t="shared" si="59"/>
        <v>73.1</v>
      </c>
    </row>
    <row r="1283" s="1" customFormat="1" spans="1:6">
      <c r="A1283" s="8" t="str">
        <f>"2020894321"</f>
        <v>2020894321</v>
      </c>
      <c r="B1283" s="9">
        <v>73</v>
      </c>
      <c r="C1283" s="9">
        <f t="shared" ref="C1283:C1346" si="60">B1283*0.3</f>
        <v>21.9</v>
      </c>
      <c r="D1283" s="10">
        <v>79</v>
      </c>
      <c r="E1283" s="9">
        <f t="shared" ref="E1283:E1346" si="61">D1283*0.7</f>
        <v>55.3</v>
      </c>
      <c r="F1283" s="9">
        <f t="shared" ref="F1283:F1346" si="62">C1283+E1283</f>
        <v>77.2</v>
      </c>
    </row>
    <row r="1284" s="1" customFormat="1" spans="1:6">
      <c r="A1284" s="8" t="str">
        <f>"2020894322"</f>
        <v>2020894322</v>
      </c>
      <c r="B1284" s="9">
        <v>52</v>
      </c>
      <c r="C1284" s="9">
        <f t="shared" si="60"/>
        <v>15.6</v>
      </c>
      <c r="D1284" s="10">
        <v>78</v>
      </c>
      <c r="E1284" s="9">
        <f t="shared" si="61"/>
        <v>54.6</v>
      </c>
      <c r="F1284" s="9">
        <f t="shared" si="62"/>
        <v>70.2</v>
      </c>
    </row>
    <row r="1285" s="1" customFormat="1" spans="1:6">
      <c r="A1285" s="8" t="str">
        <f>"2020894323"</f>
        <v>2020894323</v>
      </c>
      <c r="B1285" s="9">
        <v>67</v>
      </c>
      <c r="C1285" s="9">
        <f t="shared" si="60"/>
        <v>20.1</v>
      </c>
      <c r="D1285" s="10">
        <v>84</v>
      </c>
      <c r="E1285" s="9">
        <f t="shared" si="61"/>
        <v>58.8</v>
      </c>
      <c r="F1285" s="9">
        <f t="shared" si="62"/>
        <v>78.9</v>
      </c>
    </row>
    <row r="1286" s="1" customFormat="1" spans="1:6">
      <c r="A1286" s="8" t="str">
        <f>"2020894324"</f>
        <v>2020894324</v>
      </c>
      <c r="B1286" s="9">
        <v>75</v>
      </c>
      <c r="C1286" s="9">
        <f t="shared" si="60"/>
        <v>22.5</v>
      </c>
      <c r="D1286" s="10">
        <v>84</v>
      </c>
      <c r="E1286" s="9">
        <f t="shared" si="61"/>
        <v>58.8</v>
      </c>
      <c r="F1286" s="9">
        <f t="shared" si="62"/>
        <v>81.3</v>
      </c>
    </row>
    <row r="1287" s="1" customFormat="1" spans="1:6">
      <c r="A1287" s="8" t="str">
        <f>"2020894325"</f>
        <v>2020894325</v>
      </c>
      <c r="B1287" s="9">
        <v>62</v>
      </c>
      <c r="C1287" s="9">
        <f t="shared" si="60"/>
        <v>18.6</v>
      </c>
      <c r="D1287" s="10">
        <v>79</v>
      </c>
      <c r="E1287" s="9">
        <f t="shared" si="61"/>
        <v>55.3</v>
      </c>
      <c r="F1287" s="9">
        <f t="shared" si="62"/>
        <v>73.9</v>
      </c>
    </row>
    <row r="1288" s="1" customFormat="1" spans="1:6">
      <c r="A1288" s="8" t="str">
        <f>"2020894326"</f>
        <v>2020894326</v>
      </c>
      <c r="B1288" s="9">
        <v>66</v>
      </c>
      <c r="C1288" s="9">
        <f t="shared" si="60"/>
        <v>19.8</v>
      </c>
      <c r="D1288" s="10">
        <v>68</v>
      </c>
      <c r="E1288" s="9">
        <f t="shared" si="61"/>
        <v>47.6</v>
      </c>
      <c r="F1288" s="9">
        <f t="shared" si="62"/>
        <v>67.4</v>
      </c>
    </row>
    <row r="1289" s="1" customFormat="1" spans="1:6">
      <c r="A1289" s="8" t="str">
        <f>"2020894327"</f>
        <v>2020894327</v>
      </c>
      <c r="B1289" s="9">
        <v>70</v>
      </c>
      <c r="C1289" s="9">
        <f t="shared" si="60"/>
        <v>21</v>
      </c>
      <c r="D1289" s="10">
        <v>67</v>
      </c>
      <c r="E1289" s="9">
        <f t="shared" si="61"/>
        <v>46.9</v>
      </c>
      <c r="F1289" s="9">
        <f t="shared" si="62"/>
        <v>67.9</v>
      </c>
    </row>
    <row r="1290" s="1" customFormat="1" spans="1:6">
      <c r="A1290" s="8" t="str">
        <f>"2020894328"</f>
        <v>2020894328</v>
      </c>
      <c r="B1290" s="9">
        <v>70</v>
      </c>
      <c r="C1290" s="9">
        <f t="shared" si="60"/>
        <v>21</v>
      </c>
      <c r="D1290" s="10">
        <v>83</v>
      </c>
      <c r="E1290" s="9">
        <f t="shared" si="61"/>
        <v>58.1</v>
      </c>
      <c r="F1290" s="9">
        <f t="shared" si="62"/>
        <v>79.1</v>
      </c>
    </row>
    <row r="1291" s="1" customFormat="1" spans="1:6">
      <c r="A1291" s="8" t="str">
        <f>"2020894329"</f>
        <v>2020894329</v>
      </c>
      <c r="B1291" s="9">
        <v>68</v>
      </c>
      <c r="C1291" s="9">
        <f t="shared" si="60"/>
        <v>20.4</v>
      </c>
      <c r="D1291" s="10">
        <v>82</v>
      </c>
      <c r="E1291" s="9">
        <f t="shared" si="61"/>
        <v>57.4</v>
      </c>
      <c r="F1291" s="9">
        <f t="shared" si="62"/>
        <v>77.8</v>
      </c>
    </row>
    <row r="1292" s="1" customFormat="1" spans="1:6">
      <c r="A1292" s="8" t="str">
        <f>"2020894330"</f>
        <v>2020894330</v>
      </c>
      <c r="B1292" s="9">
        <v>56</v>
      </c>
      <c r="C1292" s="9">
        <f t="shared" si="60"/>
        <v>16.8</v>
      </c>
      <c r="D1292" s="10">
        <v>60</v>
      </c>
      <c r="E1292" s="9">
        <f t="shared" si="61"/>
        <v>42</v>
      </c>
      <c r="F1292" s="9">
        <f t="shared" si="62"/>
        <v>58.8</v>
      </c>
    </row>
    <row r="1293" s="1" customFormat="1" spans="1:6">
      <c r="A1293" s="8" t="str">
        <f>"2020894401"</f>
        <v>2020894401</v>
      </c>
      <c r="B1293" s="9">
        <v>66</v>
      </c>
      <c r="C1293" s="9">
        <f t="shared" si="60"/>
        <v>19.8</v>
      </c>
      <c r="D1293" s="10">
        <v>83</v>
      </c>
      <c r="E1293" s="9">
        <f t="shared" si="61"/>
        <v>58.1</v>
      </c>
      <c r="F1293" s="9">
        <f t="shared" si="62"/>
        <v>77.9</v>
      </c>
    </row>
    <row r="1294" s="1" customFormat="1" spans="1:6">
      <c r="A1294" s="8" t="str">
        <f>"2020894402"</f>
        <v>2020894402</v>
      </c>
      <c r="B1294" s="9">
        <v>63</v>
      </c>
      <c r="C1294" s="9">
        <f t="shared" si="60"/>
        <v>18.9</v>
      </c>
      <c r="D1294" s="10">
        <v>84</v>
      </c>
      <c r="E1294" s="9">
        <f t="shared" si="61"/>
        <v>58.8</v>
      </c>
      <c r="F1294" s="9">
        <f t="shared" si="62"/>
        <v>77.7</v>
      </c>
    </row>
    <row r="1295" s="1" customFormat="1" spans="1:6">
      <c r="A1295" s="8" t="str">
        <f>"2020894403"</f>
        <v>2020894403</v>
      </c>
      <c r="B1295" s="9">
        <v>0</v>
      </c>
      <c r="C1295" s="9">
        <f t="shared" si="60"/>
        <v>0</v>
      </c>
      <c r="D1295" s="10">
        <v>0</v>
      </c>
      <c r="E1295" s="9">
        <f t="shared" si="61"/>
        <v>0</v>
      </c>
      <c r="F1295" s="9">
        <f t="shared" si="62"/>
        <v>0</v>
      </c>
    </row>
    <row r="1296" s="1" customFormat="1" spans="1:6">
      <c r="A1296" s="8" t="str">
        <f>"2020894404"</f>
        <v>2020894404</v>
      </c>
      <c r="B1296" s="9">
        <v>73</v>
      </c>
      <c r="C1296" s="9">
        <f t="shared" si="60"/>
        <v>21.9</v>
      </c>
      <c r="D1296" s="10">
        <v>73</v>
      </c>
      <c r="E1296" s="9">
        <f t="shared" si="61"/>
        <v>51.1</v>
      </c>
      <c r="F1296" s="9">
        <f t="shared" si="62"/>
        <v>73</v>
      </c>
    </row>
    <row r="1297" s="1" customFormat="1" spans="1:6">
      <c r="A1297" s="8" t="str">
        <f>"2020894405"</f>
        <v>2020894405</v>
      </c>
      <c r="B1297" s="9">
        <v>71</v>
      </c>
      <c r="C1297" s="9">
        <f t="shared" si="60"/>
        <v>21.3</v>
      </c>
      <c r="D1297" s="10">
        <v>79</v>
      </c>
      <c r="E1297" s="9">
        <f t="shared" si="61"/>
        <v>55.3</v>
      </c>
      <c r="F1297" s="9">
        <f t="shared" si="62"/>
        <v>76.6</v>
      </c>
    </row>
    <row r="1298" s="1" customFormat="1" spans="1:6">
      <c r="A1298" s="8" t="str">
        <f>"2020894406"</f>
        <v>2020894406</v>
      </c>
      <c r="B1298" s="9">
        <v>50</v>
      </c>
      <c r="C1298" s="9">
        <f t="shared" si="60"/>
        <v>15</v>
      </c>
      <c r="D1298" s="10">
        <v>81</v>
      </c>
      <c r="E1298" s="9">
        <f t="shared" si="61"/>
        <v>56.7</v>
      </c>
      <c r="F1298" s="9">
        <f t="shared" si="62"/>
        <v>71.7</v>
      </c>
    </row>
    <row r="1299" s="1" customFormat="1" spans="1:6">
      <c r="A1299" s="8" t="str">
        <f>"2020894407"</f>
        <v>2020894407</v>
      </c>
      <c r="B1299" s="9">
        <v>74</v>
      </c>
      <c r="C1299" s="9">
        <f t="shared" si="60"/>
        <v>22.2</v>
      </c>
      <c r="D1299" s="10">
        <v>81</v>
      </c>
      <c r="E1299" s="9">
        <f t="shared" si="61"/>
        <v>56.7</v>
      </c>
      <c r="F1299" s="9">
        <f t="shared" si="62"/>
        <v>78.9</v>
      </c>
    </row>
    <row r="1300" s="1" customFormat="1" spans="1:6">
      <c r="A1300" s="8" t="str">
        <f>"2020894408"</f>
        <v>2020894408</v>
      </c>
      <c r="B1300" s="9">
        <v>67</v>
      </c>
      <c r="C1300" s="9">
        <f t="shared" si="60"/>
        <v>20.1</v>
      </c>
      <c r="D1300" s="10">
        <v>61</v>
      </c>
      <c r="E1300" s="9">
        <f t="shared" si="61"/>
        <v>42.7</v>
      </c>
      <c r="F1300" s="9">
        <f t="shared" si="62"/>
        <v>62.8</v>
      </c>
    </row>
    <row r="1301" s="1" customFormat="1" spans="1:6">
      <c r="A1301" s="8" t="str">
        <f>"2020894409"</f>
        <v>2020894409</v>
      </c>
      <c r="B1301" s="9">
        <v>72</v>
      </c>
      <c r="C1301" s="9">
        <f t="shared" si="60"/>
        <v>21.6</v>
      </c>
      <c r="D1301" s="10">
        <v>74</v>
      </c>
      <c r="E1301" s="9">
        <f t="shared" si="61"/>
        <v>51.8</v>
      </c>
      <c r="F1301" s="9">
        <f t="shared" si="62"/>
        <v>73.4</v>
      </c>
    </row>
    <row r="1302" s="1" customFormat="1" spans="1:6">
      <c r="A1302" s="8" t="str">
        <f>"2020894410"</f>
        <v>2020894410</v>
      </c>
      <c r="B1302" s="9">
        <v>64</v>
      </c>
      <c r="C1302" s="9">
        <f t="shared" si="60"/>
        <v>19.2</v>
      </c>
      <c r="D1302" s="10">
        <v>88</v>
      </c>
      <c r="E1302" s="9">
        <f t="shared" si="61"/>
        <v>61.6</v>
      </c>
      <c r="F1302" s="9">
        <f t="shared" si="62"/>
        <v>80.8</v>
      </c>
    </row>
    <row r="1303" s="1" customFormat="1" spans="1:6">
      <c r="A1303" s="8" t="str">
        <f>"2020894411"</f>
        <v>2020894411</v>
      </c>
      <c r="B1303" s="9">
        <v>67</v>
      </c>
      <c r="C1303" s="9">
        <f t="shared" si="60"/>
        <v>20.1</v>
      </c>
      <c r="D1303" s="10">
        <v>79</v>
      </c>
      <c r="E1303" s="9">
        <f t="shared" si="61"/>
        <v>55.3</v>
      </c>
      <c r="F1303" s="9">
        <f t="shared" si="62"/>
        <v>75.4</v>
      </c>
    </row>
    <row r="1304" s="1" customFormat="1" spans="1:6">
      <c r="A1304" s="8" t="str">
        <f>"2020894412"</f>
        <v>2020894412</v>
      </c>
      <c r="B1304" s="9">
        <v>55</v>
      </c>
      <c r="C1304" s="9">
        <f t="shared" si="60"/>
        <v>16.5</v>
      </c>
      <c r="D1304" s="10">
        <v>87</v>
      </c>
      <c r="E1304" s="9">
        <f t="shared" si="61"/>
        <v>60.9</v>
      </c>
      <c r="F1304" s="9">
        <f t="shared" si="62"/>
        <v>77.4</v>
      </c>
    </row>
    <row r="1305" s="1" customFormat="1" spans="1:6">
      <c r="A1305" s="8" t="str">
        <f>"2020894413"</f>
        <v>2020894413</v>
      </c>
      <c r="B1305" s="9">
        <v>83</v>
      </c>
      <c r="C1305" s="9">
        <f t="shared" si="60"/>
        <v>24.9</v>
      </c>
      <c r="D1305" s="10">
        <v>74</v>
      </c>
      <c r="E1305" s="9">
        <f t="shared" si="61"/>
        <v>51.8</v>
      </c>
      <c r="F1305" s="9">
        <f t="shared" si="62"/>
        <v>76.7</v>
      </c>
    </row>
    <row r="1306" s="1" customFormat="1" spans="1:6">
      <c r="A1306" s="8" t="str">
        <f>"2020894414"</f>
        <v>2020894414</v>
      </c>
      <c r="B1306" s="9">
        <v>77</v>
      </c>
      <c r="C1306" s="9">
        <f t="shared" si="60"/>
        <v>23.1</v>
      </c>
      <c r="D1306" s="10">
        <v>72</v>
      </c>
      <c r="E1306" s="9">
        <f t="shared" si="61"/>
        <v>50.4</v>
      </c>
      <c r="F1306" s="9">
        <f t="shared" si="62"/>
        <v>73.5</v>
      </c>
    </row>
    <row r="1307" s="1" customFormat="1" spans="1:6">
      <c r="A1307" s="8" t="str">
        <f>"2020894415"</f>
        <v>2020894415</v>
      </c>
      <c r="B1307" s="9">
        <v>70</v>
      </c>
      <c r="C1307" s="9">
        <f t="shared" si="60"/>
        <v>21</v>
      </c>
      <c r="D1307" s="10">
        <v>61</v>
      </c>
      <c r="E1307" s="9">
        <f t="shared" si="61"/>
        <v>42.7</v>
      </c>
      <c r="F1307" s="9">
        <f t="shared" si="62"/>
        <v>63.7</v>
      </c>
    </row>
    <row r="1308" s="1" customFormat="1" spans="1:6">
      <c r="A1308" s="8" t="str">
        <f>"2020894416"</f>
        <v>2020894416</v>
      </c>
      <c r="B1308" s="9">
        <v>0</v>
      </c>
      <c r="C1308" s="9">
        <f t="shared" si="60"/>
        <v>0</v>
      </c>
      <c r="D1308" s="10">
        <v>0</v>
      </c>
      <c r="E1308" s="9">
        <f t="shared" si="61"/>
        <v>0</v>
      </c>
      <c r="F1308" s="9">
        <f t="shared" si="62"/>
        <v>0</v>
      </c>
    </row>
    <row r="1309" s="1" customFormat="1" spans="1:6">
      <c r="A1309" s="8" t="str">
        <f>"2020894417"</f>
        <v>2020894417</v>
      </c>
      <c r="B1309" s="9">
        <v>57</v>
      </c>
      <c r="C1309" s="9">
        <f t="shared" si="60"/>
        <v>17.1</v>
      </c>
      <c r="D1309" s="10">
        <v>78</v>
      </c>
      <c r="E1309" s="9">
        <f t="shared" si="61"/>
        <v>54.6</v>
      </c>
      <c r="F1309" s="9">
        <f t="shared" si="62"/>
        <v>71.7</v>
      </c>
    </row>
    <row r="1310" s="1" customFormat="1" spans="1:6">
      <c r="A1310" s="8" t="str">
        <f>"2020894418"</f>
        <v>2020894418</v>
      </c>
      <c r="B1310" s="9">
        <v>0</v>
      </c>
      <c r="C1310" s="9">
        <f t="shared" si="60"/>
        <v>0</v>
      </c>
      <c r="D1310" s="10">
        <v>0</v>
      </c>
      <c r="E1310" s="9">
        <f t="shared" si="61"/>
        <v>0</v>
      </c>
      <c r="F1310" s="9">
        <f t="shared" si="62"/>
        <v>0</v>
      </c>
    </row>
    <row r="1311" s="1" customFormat="1" spans="1:6">
      <c r="A1311" s="8" t="str">
        <f>"2020894419"</f>
        <v>2020894419</v>
      </c>
      <c r="B1311" s="9">
        <v>63</v>
      </c>
      <c r="C1311" s="9">
        <f t="shared" si="60"/>
        <v>18.9</v>
      </c>
      <c r="D1311" s="10">
        <v>77</v>
      </c>
      <c r="E1311" s="9">
        <f t="shared" si="61"/>
        <v>53.9</v>
      </c>
      <c r="F1311" s="9">
        <f t="shared" si="62"/>
        <v>72.8</v>
      </c>
    </row>
    <row r="1312" s="1" customFormat="1" spans="1:6">
      <c r="A1312" s="8" t="str">
        <f>"2020894420"</f>
        <v>2020894420</v>
      </c>
      <c r="B1312" s="9">
        <v>49</v>
      </c>
      <c r="C1312" s="9">
        <f t="shared" si="60"/>
        <v>14.7</v>
      </c>
      <c r="D1312" s="10">
        <v>70</v>
      </c>
      <c r="E1312" s="9">
        <f t="shared" si="61"/>
        <v>49</v>
      </c>
      <c r="F1312" s="9">
        <f t="shared" si="62"/>
        <v>63.7</v>
      </c>
    </row>
    <row r="1313" s="1" customFormat="1" spans="1:6">
      <c r="A1313" s="8" t="str">
        <f>"2020894421"</f>
        <v>2020894421</v>
      </c>
      <c r="B1313" s="9">
        <v>63</v>
      </c>
      <c r="C1313" s="9">
        <f t="shared" si="60"/>
        <v>18.9</v>
      </c>
      <c r="D1313" s="10">
        <v>81</v>
      </c>
      <c r="E1313" s="9">
        <f t="shared" si="61"/>
        <v>56.7</v>
      </c>
      <c r="F1313" s="9">
        <f t="shared" si="62"/>
        <v>75.6</v>
      </c>
    </row>
    <row r="1314" s="1" customFormat="1" spans="1:6">
      <c r="A1314" s="8" t="str">
        <f>"2020894422"</f>
        <v>2020894422</v>
      </c>
      <c r="B1314" s="9">
        <v>0</v>
      </c>
      <c r="C1314" s="9">
        <f t="shared" si="60"/>
        <v>0</v>
      </c>
      <c r="D1314" s="10">
        <v>0</v>
      </c>
      <c r="E1314" s="9">
        <f t="shared" si="61"/>
        <v>0</v>
      </c>
      <c r="F1314" s="9">
        <f t="shared" si="62"/>
        <v>0</v>
      </c>
    </row>
    <row r="1315" s="1" customFormat="1" spans="1:6">
      <c r="A1315" s="8" t="str">
        <f>"2020894423"</f>
        <v>2020894423</v>
      </c>
      <c r="B1315" s="9">
        <v>0</v>
      </c>
      <c r="C1315" s="9">
        <f t="shared" si="60"/>
        <v>0</v>
      </c>
      <c r="D1315" s="10">
        <v>0</v>
      </c>
      <c r="E1315" s="9">
        <f t="shared" si="61"/>
        <v>0</v>
      </c>
      <c r="F1315" s="9">
        <f t="shared" si="62"/>
        <v>0</v>
      </c>
    </row>
    <row r="1316" s="1" customFormat="1" spans="1:6">
      <c r="A1316" s="8" t="str">
        <f>"2020894424"</f>
        <v>2020894424</v>
      </c>
      <c r="B1316" s="9">
        <v>63</v>
      </c>
      <c r="C1316" s="9">
        <f t="shared" si="60"/>
        <v>18.9</v>
      </c>
      <c r="D1316" s="10">
        <v>63</v>
      </c>
      <c r="E1316" s="9">
        <f t="shared" si="61"/>
        <v>44.1</v>
      </c>
      <c r="F1316" s="9">
        <f t="shared" si="62"/>
        <v>63</v>
      </c>
    </row>
    <row r="1317" s="1" customFormat="1" spans="1:6">
      <c r="A1317" s="8" t="str">
        <f>"2020894425"</f>
        <v>2020894425</v>
      </c>
      <c r="B1317" s="9">
        <v>73</v>
      </c>
      <c r="C1317" s="9">
        <f t="shared" si="60"/>
        <v>21.9</v>
      </c>
      <c r="D1317" s="10">
        <v>76</v>
      </c>
      <c r="E1317" s="9">
        <f t="shared" si="61"/>
        <v>53.2</v>
      </c>
      <c r="F1317" s="9">
        <f t="shared" si="62"/>
        <v>75.1</v>
      </c>
    </row>
    <row r="1318" s="1" customFormat="1" spans="1:6">
      <c r="A1318" s="8" t="str">
        <f>"2020894426"</f>
        <v>2020894426</v>
      </c>
      <c r="B1318" s="9">
        <v>66</v>
      </c>
      <c r="C1318" s="9">
        <f t="shared" si="60"/>
        <v>19.8</v>
      </c>
      <c r="D1318" s="10">
        <v>76</v>
      </c>
      <c r="E1318" s="9">
        <f t="shared" si="61"/>
        <v>53.2</v>
      </c>
      <c r="F1318" s="9">
        <f t="shared" si="62"/>
        <v>73</v>
      </c>
    </row>
    <row r="1319" s="1" customFormat="1" spans="1:6">
      <c r="A1319" s="8" t="str">
        <f>"2020894427"</f>
        <v>2020894427</v>
      </c>
      <c r="B1319" s="9">
        <v>65</v>
      </c>
      <c r="C1319" s="9">
        <f t="shared" si="60"/>
        <v>19.5</v>
      </c>
      <c r="D1319" s="10">
        <v>83</v>
      </c>
      <c r="E1319" s="9">
        <f t="shared" si="61"/>
        <v>58.1</v>
      </c>
      <c r="F1319" s="9">
        <f t="shared" si="62"/>
        <v>77.6</v>
      </c>
    </row>
    <row r="1320" s="1" customFormat="1" spans="1:6">
      <c r="A1320" s="8" t="str">
        <f>"2020894428"</f>
        <v>2020894428</v>
      </c>
      <c r="B1320" s="9">
        <v>68</v>
      </c>
      <c r="C1320" s="9">
        <f t="shared" si="60"/>
        <v>20.4</v>
      </c>
      <c r="D1320" s="10">
        <v>64</v>
      </c>
      <c r="E1320" s="9">
        <f t="shared" si="61"/>
        <v>44.8</v>
      </c>
      <c r="F1320" s="9">
        <f t="shared" si="62"/>
        <v>65.2</v>
      </c>
    </row>
    <row r="1321" s="1" customFormat="1" spans="1:6">
      <c r="A1321" s="8" t="str">
        <f>"2020894429"</f>
        <v>2020894429</v>
      </c>
      <c r="B1321" s="9">
        <v>74</v>
      </c>
      <c r="C1321" s="9">
        <f t="shared" si="60"/>
        <v>22.2</v>
      </c>
      <c r="D1321" s="10">
        <v>78</v>
      </c>
      <c r="E1321" s="9">
        <f t="shared" si="61"/>
        <v>54.6</v>
      </c>
      <c r="F1321" s="9">
        <f t="shared" si="62"/>
        <v>76.8</v>
      </c>
    </row>
    <row r="1322" s="1" customFormat="1" spans="1:6">
      <c r="A1322" s="8" t="str">
        <f>"2020894430"</f>
        <v>2020894430</v>
      </c>
      <c r="B1322" s="9">
        <v>0</v>
      </c>
      <c r="C1322" s="9">
        <f t="shared" si="60"/>
        <v>0</v>
      </c>
      <c r="D1322" s="10">
        <v>0</v>
      </c>
      <c r="E1322" s="9">
        <f t="shared" si="61"/>
        <v>0</v>
      </c>
      <c r="F1322" s="9">
        <f t="shared" si="62"/>
        <v>0</v>
      </c>
    </row>
    <row r="1323" s="1" customFormat="1" spans="1:6">
      <c r="A1323" s="8" t="str">
        <f>"2020894501"</f>
        <v>2020894501</v>
      </c>
      <c r="B1323" s="9">
        <v>66</v>
      </c>
      <c r="C1323" s="9">
        <f t="shared" si="60"/>
        <v>19.8</v>
      </c>
      <c r="D1323" s="10">
        <v>82</v>
      </c>
      <c r="E1323" s="9">
        <f t="shared" si="61"/>
        <v>57.4</v>
      </c>
      <c r="F1323" s="9">
        <f t="shared" si="62"/>
        <v>77.2</v>
      </c>
    </row>
    <row r="1324" s="1" customFormat="1" spans="1:6">
      <c r="A1324" s="8" t="str">
        <f>"2020894502"</f>
        <v>2020894502</v>
      </c>
      <c r="B1324" s="9">
        <v>56</v>
      </c>
      <c r="C1324" s="9">
        <f t="shared" si="60"/>
        <v>16.8</v>
      </c>
      <c r="D1324" s="10">
        <v>72</v>
      </c>
      <c r="E1324" s="9">
        <f t="shared" si="61"/>
        <v>50.4</v>
      </c>
      <c r="F1324" s="9">
        <f t="shared" si="62"/>
        <v>67.2</v>
      </c>
    </row>
    <row r="1325" s="1" customFormat="1" spans="1:6">
      <c r="A1325" s="8" t="str">
        <f>"2020894503"</f>
        <v>2020894503</v>
      </c>
      <c r="B1325" s="9">
        <v>0</v>
      </c>
      <c r="C1325" s="9">
        <f t="shared" si="60"/>
        <v>0</v>
      </c>
      <c r="D1325" s="10">
        <v>0</v>
      </c>
      <c r="E1325" s="9">
        <f t="shared" si="61"/>
        <v>0</v>
      </c>
      <c r="F1325" s="9">
        <f t="shared" si="62"/>
        <v>0</v>
      </c>
    </row>
    <row r="1326" s="1" customFormat="1" spans="1:6">
      <c r="A1326" s="8" t="str">
        <f>"2020894504"</f>
        <v>2020894504</v>
      </c>
      <c r="B1326" s="9">
        <v>68</v>
      </c>
      <c r="C1326" s="9">
        <f t="shared" si="60"/>
        <v>20.4</v>
      </c>
      <c r="D1326" s="10">
        <v>75</v>
      </c>
      <c r="E1326" s="9">
        <f t="shared" si="61"/>
        <v>52.5</v>
      </c>
      <c r="F1326" s="9">
        <f t="shared" si="62"/>
        <v>72.9</v>
      </c>
    </row>
    <row r="1327" s="1" customFormat="1" spans="1:6">
      <c r="A1327" s="8" t="str">
        <f>"2020894505"</f>
        <v>2020894505</v>
      </c>
      <c r="B1327" s="9">
        <v>74</v>
      </c>
      <c r="C1327" s="9">
        <f t="shared" si="60"/>
        <v>22.2</v>
      </c>
      <c r="D1327" s="10">
        <v>71</v>
      </c>
      <c r="E1327" s="9">
        <f t="shared" si="61"/>
        <v>49.7</v>
      </c>
      <c r="F1327" s="9">
        <f t="shared" si="62"/>
        <v>71.9</v>
      </c>
    </row>
    <row r="1328" s="1" customFormat="1" spans="1:6">
      <c r="A1328" s="8" t="str">
        <f>"2020894506"</f>
        <v>2020894506</v>
      </c>
      <c r="B1328" s="9">
        <v>73</v>
      </c>
      <c r="C1328" s="9">
        <f t="shared" si="60"/>
        <v>21.9</v>
      </c>
      <c r="D1328" s="10">
        <v>73</v>
      </c>
      <c r="E1328" s="9">
        <f t="shared" si="61"/>
        <v>51.1</v>
      </c>
      <c r="F1328" s="9">
        <f t="shared" si="62"/>
        <v>73</v>
      </c>
    </row>
    <row r="1329" s="1" customFormat="1" spans="1:6">
      <c r="A1329" s="8" t="str">
        <f>"2020894507"</f>
        <v>2020894507</v>
      </c>
      <c r="B1329" s="9">
        <v>78</v>
      </c>
      <c r="C1329" s="9">
        <f t="shared" si="60"/>
        <v>23.4</v>
      </c>
      <c r="D1329" s="10">
        <v>95</v>
      </c>
      <c r="E1329" s="9">
        <f t="shared" si="61"/>
        <v>66.5</v>
      </c>
      <c r="F1329" s="9">
        <f t="shared" si="62"/>
        <v>89.9</v>
      </c>
    </row>
    <row r="1330" s="1" customFormat="1" spans="1:6">
      <c r="A1330" s="8" t="str">
        <f>"2020894508"</f>
        <v>2020894508</v>
      </c>
      <c r="B1330" s="9">
        <v>58</v>
      </c>
      <c r="C1330" s="9">
        <f t="shared" si="60"/>
        <v>17.4</v>
      </c>
      <c r="D1330" s="10">
        <v>62</v>
      </c>
      <c r="E1330" s="9">
        <f t="shared" si="61"/>
        <v>43.4</v>
      </c>
      <c r="F1330" s="9">
        <f t="shared" si="62"/>
        <v>60.8</v>
      </c>
    </row>
    <row r="1331" s="1" customFormat="1" spans="1:6">
      <c r="A1331" s="8" t="str">
        <f>"2020894509"</f>
        <v>2020894509</v>
      </c>
      <c r="B1331" s="9">
        <v>0</v>
      </c>
      <c r="C1331" s="9">
        <f t="shared" si="60"/>
        <v>0</v>
      </c>
      <c r="D1331" s="10">
        <v>0</v>
      </c>
      <c r="E1331" s="9">
        <f t="shared" si="61"/>
        <v>0</v>
      </c>
      <c r="F1331" s="9">
        <f t="shared" si="62"/>
        <v>0</v>
      </c>
    </row>
    <row r="1332" s="1" customFormat="1" spans="1:6">
      <c r="A1332" s="8" t="str">
        <f>"2020894510"</f>
        <v>2020894510</v>
      </c>
      <c r="B1332" s="9">
        <v>65</v>
      </c>
      <c r="C1332" s="9">
        <f t="shared" si="60"/>
        <v>19.5</v>
      </c>
      <c r="D1332" s="10">
        <v>81</v>
      </c>
      <c r="E1332" s="9">
        <f t="shared" si="61"/>
        <v>56.7</v>
      </c>
      <c r="F1332" s="9">
        <f t="shared" si="62"/>
        <v>76.2</v>
      </c>
    </row>
    <row r="1333" s="1" customFormat="1" spans="1:6">
      <c r="A1333" s="8" t="str">
        <f>"2020894511"</f>
        <v>2020894511</v>
      </c>
      <c r="B1333" s="9">
        <v>67</v>
      </c>
      <c r="C1333" s="9">
        <f t="shared" si="60"/>
        <v>20.1</v>
      </c>
      <c r="D1333" s="10">
        <v>91</v>
      </c>
      <c r="E1333" s="9">
        <f t="shared" si="61"/>
        <v>63.7</v>
      </c>
      <c r="F1333" s="9">
        <f t="shared" si="62"/>
        <v>83.8</v>
      </c>
    </row>
    <row r="1334" s="1" customFormat="1" spans="1:6">
      <c r="A1334" s="8" t="str">
        <f>"2020894512"</f>
        <v>2020894512</v>
      </c>
      <c r="B1334" s="9">
        <v>76</v>
      </c>
      <c r="C1334" s="9">
        <f t="shared" si="60"/>
        <v>22.8</v>
      </c>
      <c r="D1334" s="10">
        <v>71</v>
      </c>
      <c r="E1334" s="9">
        <f t="shared" si="61"/>
        <v>49.7</v>
      </c>
      <c r="F1334" s="9">
        <f t="shared" si="62"/>
        <v>72.5</v>
      </c>
    </row>
    <row r="1335" s="1" customFormat="1" spans="1:6">
      <c r="A1335" s="8" t="str">
        <f>"2020894513"</f>
        <v>2020894513</v>
      </c>
      <c r="B1335" s="9">
        <v>62</v>
      </c>
      <c r="C1335" s="9">
        <f t="shared" si="60"/>
        <v>18.6</v>
      </c>
      <c r="D1335" s="10">
        <v>81</v>
      </c>
      <c r="E1335" s="9">
        <f t="shared" si="61"/>
        <v>56.7</v>
      </c>
      <c r="F1335" s="9">
        <f t="shared" si="62"/>
        <v>75.3</v>
      </c>
    </row>
    <row r="1336" s="1" customFormat="1" spans="1:6">
      <c r="A1336" s="8" t="str">
        <f>"2020894514"</f>
        <v>2020894514</v>
      </c>
      <c r="B1336" s="9">
        <v>75</v>
      </c>
      <c r="C1336" s="9">
        <f t="shared" si="60"/>
        <v>22.5</v>
      </c>
      <c r="D1336" s="10">
        <v>69</v>
      </c>
      <c r="E1336" s="9">
        <f t="shared" si="61"/>
        <v>48.3</v>
      </c>
      <c r="F1336" s="9">
        <f t="shared" si="62"/>
        <v>70.8</v>
      </c>
    </row>
    <row r="1337" s="1" customFormat="1" spans="1:6">
      <c r="A1337" s="8" t="str">
        <f>"2020894515"</f>
        <v>2020894515</v>
      </c>
      <c r="B1337" s="9">
        <v>0</v>
      </c>
      <c r="C1337" s="9">
        <f t="shared" si="60"/>
        <v>0</v>
      </c>
      <c r="D1337" s="10">
        <v>0</v>
      </c>
      <c r="E1337" s="9">
        <f t="shared" si="61"/>
        <v>0</v>
      </c>
      <c r="F1337" s="9">
        <f t="shared" si="62"/>
        <v>0</v>
      </c>
    </row>
    <row r="1338" s="1" customFormat="1" spans="1:6">
      <c r="A1338" s="8" t="str">
        <f>"2020894516"</f>
        <v>2020894516</v>
      </c>
      <c r="B1338" s="9">
        <v>63</v>
      </c>
      <c r="C1338" s="9">
        <f t="shared" si="60"/>
        <v>18.9</v>
      </c>
      <c r="D1338" s="10">
        <v>60</v>
      </c>
      <c r="E1338" s="9">
        <f t="shared" si="61"/>
        <v>42</v>
      </c>
      <c r="F1338" s="9">
        <f t="shared" si="62"/>
        <v>60.9</v>
      </c>
    </row>
    <row r="1339" s="1" customFormat="1" spans="1:6">
      <c r="A1339" s="8" t="str">
        <f>"2020894517"</f>
        <v>2020894517</v>
      </c>
      <c r="B1339" s="9">
        <v>74</v>
      </c>
      <c r="C1339" s="9">
        <f t="shared" si="60"/>
        <v>22.2</v>
      </c>
      <c r="D1339" s="10">
        <v>90</v>
      </c>
      <c r="E1339" s="9">
        <f t="shared" si="61"/>
        <v>63</v>
      </c>
      <c r="F1339" s="9">
        <f t="shared" si="62"/>
        <v>85.2</v>
      </c>
    </row>
    <row r="1340" s="1" customFormat="1" spans="1:6">
      <c r="A1340" s="8" t="str">
        <f>"2020894518"</f>
        <v>2020894518</v>
      </c>
      <c r="B1340" s="9">
        <v>72</v>
      </c>
      <c r="C1340" s="9">
        <f t="shared" si="60"/>
        <v>21.6</v>
      </c>
      <c r="D1340" s="10">
        <v>83</v>
      </c>
      <c r="E1340" s="9">
        <f t="shared" si="61"/>
        <v>58.1</v>
      </c>
      <c r="F1340" s="9">
        <f t="shared" si="62"/>
        <v>79.7</v>
      </c>
    </row>
    <row r="1341" s="1" customFormat="1" spans="1:6">
      <c r="A1341" s="8" t="str">
        <f>"2020894519"</f>
        <v>2020894519</v>
      </c>
      <c r="B1341" s="9">
        <v>60</v>
      </c>
      <c r="C1341" s="9">
        <f t="shared" si="60"/>
        <v>18</v>
      </c>
      <c r="D1341" s="10">
        <v>68</v>
      </c>
      <c r="E1341" s="9">
        <f t="shared" si="61"/>
        <v>47.6</v>
      </c>
      <c r="F1341" s="9">
        <f t="shared" si="62"/>
        <v>65.6</v>
      </c>
    </row>
    <row r="1342" s="1" customFormat="1" spans="1:6">
      <c r="A1342" s="8" t="str">
        <f>"2020894520"</f>
        <v>2020894520</v>
      </c>
      <c r="B1342" s="9">
        <v>0</v>
      </c>
      <c r="C1342" s="9">
        <f t="shared" si="60"/>
        <v>0</v>
      </c>
      <c r="D1342" s="10">
        <v>0</v>
      </c>
      <c r="E1342" s="9">
        <f t="shared" si="61"/>
        <v>0</v>
      </c>
      <c r="F1342" s="9">
        <f t="shared" si="62"/>
        <v>0</v>
      </c>
    </row>
    <row r="1343" s="1" customFormat="1" spans="1:6">
      <c r="A1343" s="8" t="str">
        <f>"2020894521"</f>
        <v>2020894521</v>
      </c>
      <c r="B1343" s="9">
        <v>0</v>
      </c>
      <c r="C1343" s="9">
        <f t="shared" si="60"/>
        <v>0</v>
      </c>
      <c r="D1343" s="10">
        <v>0</v>
      </c>
      <c r="E1343" s="9">
        <f t="shared" si="61"/>
        <v>0</v>
      </c>
      <c r="F1343" s="9">
        <f t="shared" si="62"/>
        <v>0</v>
      </c>
    </row>
    <row r="1344" s="1" customFormat="1" spans="1:6">
      <c r="A1344" s="8" t="str">
        <f>"2020894522"</f>
        <v>2020894522</v>
      </c>
      <c r="B1344" s="9">
        <v>60</v>
      </c>
      <c r="C1344" s="9">
        <f t="shared" si="60"/>
        <v>18</v>
      </c>
      <c r="D1344" s="10">
        <v>71</v>
      </c>
      <c r="E1344" s="9">
        <f t="shared" si="61"/>
        <v>49.7</v>
      </c>
      <c r="F1344" s="9">
        <f t="shared" si="62"/>
        <v>67.7</v>
      </c>
    </row>
    <row r="1345" s="1" customFormat="1" spans="1:6">
      <c r="A1345" s="8" t="str">
        <f>"2020894523"</f>
        <v>2020894523</v>
      </c>
      <c r="B1345" s="9">
        <v>65</v>
      </c>
      <c r="C1345" s="9">
        <f t="shared" si="60"/>
        <v>19.5</v>
      </c>
      <c r="D1345" s="10">
        <v>59</v>
      </c>
      <c r="E1345" s="9">
        <f t="shared" si="61"/>
        <v>41.3</v>
      </c>
      <c r="F1345" s="9">
        <f t="shared" si="62"/>
        <v>60.8</v>
      </c>
    </row>
    <row r="1346" s="1" customFormat="1" spans="1:6">
      <c r="A1346" s="8" t="str">
        <f>"2020894524"</f>
        <v>2020894524</v>
      </c>
      <c r="B1346" s="9">
        <v>0</v>
      </c>
      <c r="C1346" s="9">
        <f t="shared" si="60"/>
        <v>0</v>
      </c>
      <c r="D1346" s="10">
        <v>0</v>
      </c>
      <c r="E1346" s="9">
        <f t="shared" si="61"/>
        <v>0</v>
      </c>
      <c r="F1346" s="9">
        <f t="shared" si="62"/>
        <v>0</v>
      </c>
    </row>
    <row r="1347" s="1" customFormat="1" spans="1:6">
      <c r="A1347" s="8" t="str">
        <f>"2020894525"</f>
        <v>2020894525</v>
      </c>
      <c r="B1347" s="9">
        <v>49</v>
      </c>
      <c r="C1347" s="9">
        <f t="shared" ref="C1347:C1410" si="63">B1347*0.3</f>
        <v>14.7</v>
      </c>
      <c r="D1347" s="10">
        <v>80</v>
      </c>
      <c r="E1347" s="9">
        <f t="shared" ref="E1347:E1410" si="64">D1347*0.7</f>
        <v>56</v>
      </c>
      <c r="F1347" s="9">
        <f t="shared" ref="F1347:F1410" si="65">C1347+E1347</f>
        <v>70.7</v>
      </c>
    </row>
    <row r="1348" s="1" customFormat="1" spans="1:6">
      <c r="A1348" s="8" t="str">
        <f>"2020894526"</f>
        <v>2020894526</v>
      </c>
      <c r="B1348" s="9">
        <v>0</v>
      </c>
      <c r="C1348" s="9">
        <f t="shared" si="63"/>
        <v>0</v>
      </c>
      <c r="D1348" s="10">
        <v>0</v>
      </c>
      <c r="E1348" s="9">
        <f t="shared" si="64"/>
        <v>0</v>
      </c>
      <c r="F1348" s="9">
        <f t="shared" si="65"/>
        <v>0</v>
      </c>
    </row>
    <row r="1349" s="1" customFormat="1" spans="1:6">
      <c r="A1349" s="8" t="str">
        <f>"2020894527"</f>
        <v>2020894527</v>
      </c>
      <c r="B1349" s="9">
        <v>0</v>
      </c>
      <c r="C1349" s="9">
        <f t="shared" si="63"/>
        <v>0</v>
      </c>
      <c r="D1349" s="10">
        <v>0</v>
      </c>
      <c r="E1349" s="9">
        <f t="shared" si="64"/>
        <v>0</v>
      </c>
      <c r="F1349" s="9">
        <f t="shared" si="65"/>
        <v>0</v>
      </c>
    </row>
    <row r="1350" s="1" customFormat="1" spans="1:6">
      <c r="A1350" s="8" t="str">
        <f>"2020894528"</f>
        <v>2020894528</v>
      </c>
      <c r="B1350" s="9">
        <v>0</v>
      </c>
      <c r="C1350" s="9">
        <f t="shared" si="63"/>
        <v>0</v>
      </c>
      <c r="D1350" s="10">
        <v>0</v>
      </c>
      <c r="E1350" s="9">
        <f t="shared" si="64"/>
        <v>0</v>
      </c>
      <c r="F1350" s="9">
        <f t="shared" si="65"/>
        <v>0</v>
      </c>
    </row>
    <row r="1351" s="1" customFormat="1" spans="1:6">
      <c r="A1351" s="8" t="str">
        <f>"2020894529"</f>
        <v>2020894529</v>
      </c>
      <c r="B1351" s="9">
        <v>63</v>
      </c>
      <c r="C1351" s="9">
        <f t="shared" si="63"/>
        <v>18.9</v>
      </c>
      <c r="D1351" s="10">
        <v>89</v>
      </c>
      <c r="E1351" s="9">
        <f t="shared" si="64"/>
        <v>62.3</v>
      </c>
      <c r="F1351" s="9">
        <f t="shared" si="65"/>
        <v>81.2</v>
      </c>
    </row>
    <row r="1352" s="1" customFormat="1" spans="1:6">
      <c r="A1352" s="8" t="str">
        <f>"2020894530"</f>
        <v>2020894530</v>
      </c>
      <c r="B1352" s="9">
        <v>0</v>
      </c>
      <c r="C1352" s="9">
        <f t="shared" si="63"/>
        <v>0</v>
      </c>
      <c r="D1352" s="10">
        <v>0</v>
      </c>
      <c r="E1352" s="9">
        <f t="shared" si="64"/>
        <v>0</v>
      </c>
      <c r="F1352" s="9">
        <f t="shared" si="65"/>
        <v>0</v>
      </c>
    </row>
    <row r="1353" s="1" customFormat="1" spans="1:6">
      <c r="A1353" s="8" t="str">
        <f>"2020894601"</f>
        <v>2020894601</v>
      </c>
      <c r="B1353" s="9">
        <v>0</v>
      </c>
      <c r="C1353" s="9">
        <f t="shared" si="63"/>
        <v>0</v>
      </c>
      <c r="D1353" s="10">
        <v>0</v>
      </c>
      <c r="E1353" s="9">
        <f t="shared" si="64"/>
        <v>0</v>
      </c>
      <c r="F1353" s="9">
        <f t="shared" si="65"/>
        <v>0</v>
      </c>
    </row>
    <row r="1354" s="1" customFormat="1" spans="1:6">
      <c r="A1354" s="8" t="str">
        <f>"2020894602"</f>
        <v>2020894602</v>
      </c>
      <c r="B1354" s="9">
        <v>69</v>
      </c>
      <c r="C1354" s="9">
        <f t="shared" si="63"/>
        <v>20.7</v>
      </c>
      <c r="D1354" s="10">
        <v>65</v>
      </c>
      <c r="E1354" s="9">
        <f t="shared" si="64"/>
        <v>45.5</v>
      </c>
      <c r="F1354" s="9">
        <f t="shared" si="65"/>
        <v>66.2</v>
      </c>
    </row>
    <row r="1355" s="1" customFormat="1" spans="1:6">
      <c r="A1355" s="8" t="str">
        <f>"2020894603"</f>
        <v>2020894603</v>
      </c>
      <c r="B1355" s="9">
        <v>75</v>
      </c>
      <c r="C1355" s="9">
        <f t="shared" si="63"/>
        <v>22.5</v>
      </c>
      <c r="D1355" s="10">
        <v>81</v>
      </c>
      <c r="E1355" s="9">
        <f t="shared" si="64"/>
        <v>56.7</v>
      </c>
      <c r="F1355" s="9">
        <f t="shared" si="65"/>
        <v>79.2</v>
      </c>
    </row>
    <row r="1356" s="1" customFormat="1" spans="1:6">
      <c r="A1356" s="8" t="str">
        <f>"2020894604"</f>
        <v>2020894604</v>
      </c>
      <c r="B1356" s="9">
        <v>77</v>
      </c>
      <c r="C1356" s="9">
        <f t="shared" si="63"/>
        <v>23.1</v>
      </c>
      <c r="D1356" s="10">
        <v>74</v>
      </c>
      <c r="E1356" s="9">
        <f t="shared" si="64"/>
        <v>51.8</v>
      </c>
      <c r="F1356" s="9">
        <f t="shared" si="65"/>
        <v>74.9</v>
      </c>
    </row>
    <row r="1357" s="1" customFormat="1" spans="1:6">
      <c r="A1357" s="8" t="str">
        <f>"2020894605"</f>
        <v>2020894605</v>
      </c>
      <c r="B1357" s="9">
        <v>66</v>
      </c>
      <c r="C1357" s="9">
        <f t="shared" si="63"/>
        <v>19.8</v>
      </c>
      <c r="D1357" s="10">
        <v>66</v>
      </c>
      <c r="E1357" s="9">
        <f t="shared" si="64"/>
        <v>46.2</v>
      </c>
      <c r="F1357" s="9">
        <f t="shared" si="65"/>
        <v>66</v>
      </c>
    </row>
    <row r="1358" s="1" customFormat="1" spans="1:6">
      <c r="A1358" s="8" t="str">
        <f>"2020894606"</f>
        <v>2020894606</v>
      </c>
      <c r="B1358" s="9">
        <v>64</v>
      </c>
      <c r="C1358" s="9">
        <f t="shared" si="63"/>
        <v>19.2</v>
      </c>
      <c r="D1358" s="10">
        <v>83</v>
      </c>
      <c r="E1358" s="9">
        <f t="shared" si="64"/>
        <v>58.1</v>
      </c>
      <c r="F1358" s="9">
        <f t="shared" si="65"/>
        <v>77.3</v>
      </c>
    </row>
    <row r="1359" s="1" customFormat="1" spans="1:6">
      <c r="A1359" s="8" t="str">
        <f>"2020894607"</f>
        <v>2020894607</v>
      </c>
      <c r="B1359" s="9">
        <v>66</v>
      </c>
      <c r="C1359" s="9">
        <f t="shared" si="63"/>
        <v>19.8</v>
      </c>
      <c r="D1359" s="10">
        <v>68</v>
      </c>
      <c r="E1359" s="9">
        <f t="shared" si="64"/>
        <v>47.6</v>
      </c>
      <c r="F1359" s="9">
        <f t="shared" si="65"/>
        <v>67.4</v>
      </c>
    </row>
    <row r="1360" s="1" customFormat="1" spans="1:6">
      <c r="A1360" s="8" t="str">
        <f>"2020894608"</f>
        <v>2020894608</v>
      </c>
      <c r="B1360" s="9">
        <v>0</v>
      </c>
      <c r="C1360" s="9">
        <f t="shared" si="63"/>
        <v>0</v>
      </c>
      <c r="D1360" s="10">
        <v>0</v>
      </c>
      <c r="E1360" s="9">
        <f t="shared" si="64"/>
        <v>0</v>
      </c>
      <c r="F1360" s="9">
        <f t="shared" si="65"/>
        <v>0</v>
      </c>
    </row>
    <row r="1361" s="1" customFormat="1" spans="1:6">
      <c r="A1361" s="8" t="str">
        <f>"2020894609"</f>
        <v>2020894609</v>
      </c>
      <c r="B1361" s="9">
        <v>64</v>
      </c>
      <c r="C1361" s="9">
        <f t="shared" si="63"/>
        <v>19.2</v>
      </c>
      <c r="D1361" s="10">
        <v>88</v>
      </c>
      <c r="E1361" s="9">
        <f t="shared" si="64"/>
        <v>61.6</v>
      </c>
      <c r="F1361" s="9">
        <f t="shared" si="65"/>
        <v>80.8</v>
      </c>
    </row>
    <row r="1362" s="1" customFormat="1" spans="1:6">
      <c r="A1362" s="8" t="str">
        <f>"2020894610"</f>
        <v>2020894610</v>
      </c>
      <c r="B1362" s="9">
        <v>0</v>
      </c>
      <c r="C1362" s="9">
        <f t="shared" si="63"/>
        <v>0</v>
      </c>
      <c r="D1362" s="10">
        <v>0</v>
      </c>
      <c r="E1362" s="9">
        <f t="shared" si="64"/>
        <v>0</v>
      </c>
      <c r="F1362" s="9">
        <f t="shared" si="65"/>
        <v>0</v>
      </c>
    </row>
    <row r="1363" s="1" customFormat="1" spans="1:6">
      <c r="A1363" s="8" t="str">
        <f>"2020894611"</f>
        <v>2020894611</v>
      </c>
      <c r="B1363" s="9">
        <v>58</v>
      </c>
      <c r="C1363" s="9">
        <f t="shared" si="63"/>
        <v>17.4</v>
      </c>
      <c r="D1363" s="10">
        <v>66</v>
      </c>
      <c r="E1363" s="9">
        <f t="shared" si="64"/>
        <v>46.2</v>
      </c>
      <c r="F1363" s="9">
        <f t="shared" si="65"/>
        <v>63.6</v>
      </c>
    </row>
    <row r="1364" s="1" customFormat="1" spans="1:6">
      <c r="A1364" s="8" t="str">
        <f>"2020894612"</f>
        <v>2020894612</v>
      </c>
      <c r="B1364" s="9">
        <v>61</v>
      </c>
      <c r="C1364" s="9">
        <f t="shared" si="63"/>
        <v>18.3</v>
      </c>
      <c r="D1364" s="10">
        <v>89</v>
      </c>
      <c r="E1364" s="9">
        <f t="shared" si="64"/>
        <v>62.3</v>
      </c>
      <c r="F1364" s="9">
        <f t="shared" si="65"/>
        <v>80.6</v>
      </c>
    </row>
    <row r="1365" s="1" customFormat="1" spans="1:6">
      <c r="A1365" s="8" t="str">
        <f>"2020894613"</f>
        <v>2020894613</v>
      </c>
      <c r="B1365" s="9">
        <v>51</v>
      </c>
      <c r="C1365" s="9">
        <f t="shared" si="63"/>
        <v>15.3</v>
      </c>
      <c r="D1365" s="10">
        <v>83</v>
      </c>
      <c r="E1365" s="9">
        <f t="shared" si="64"/>
        <v>58.1</v>
      </c>
      <c r="F1365" s="9">
        <f t="shared" si="65"/>
        <v>73.4</v>
      </c>
    </row>
    <row r="1366" s="1" customFormat="1" spans="1:6">
      <c r="A1366" s="8" t="str">
        <f>"2020894614"</f>
        <v>2020894614</v>
      </c>
      <c r="B1366" s="9">
        <v>60</v>
      </c>
      <c r="C1366" s="9">
        <f t="shared" si="63"/>
        <v>18</v>
      </c>
      <c r="D1366" s="10">
        <v>70</v>
      </c>
      <c r="E1366" s="9">
        <f t="shared" si="64"/>
        <v>49</v>
      </c>
      <c r="F1366" s="9">
        <f t="shared" si="65"/>
        <v>67</v>
      </c>
    </row>
    <row r="1367" s="1" customFormat="1" spans="1:6">
      <c r="A1367" s="8" t="str">
        <f>"2020894615"</f>
        <v>2020894615</v>
      </c>
      <c r="B1367" s="9">
        <v>63</v>
      </c>
      <c r="C1367" s="9">
        <f t="shared" si="63"/>
        <v>18.9</v>
      </c>
      <c r="D1367" s="10">
        <v>69</v>
      </c>
      <c r="E1367" s="9">
        <f t="shared" si="64"/>
        <v>48.3</v>
      </c>
      <c r="F1367" s="9">
        <f t="shared" si="65"/>
        <v>67.2</v>
      </c>
    </row>
    <row r="1368" s="1" customFormat="1" spans="1:6">
      <c r="A1368" s="8" t="str">
        <f>"2020894616"</f>
        <v>2020894616</v>
      </c>
      <c r="B1368" s="9">
        <v>0</v>
      </c>
      <c r="C1368" s="9">
        <f t="shared" si="63"/>
        <v>0</v>
      </c>
      <c r="D1368" s="10">
        <v>0</v>
      </c>
      <c r="E1368" s="9">
        <f t="shared" si="64"/>
        <v>0</v>
      </c>
      <c r="F1368" s="9">
        <f t="shared" si="65"/>
        <v>0</v>
      </c>
    </row>
    <row r="1369" s="1" customFormat="1" spans="1:6">
      <c r="A1369" s="8" t="str">
        <f>"2020894617"</f>
        <v>2020894617</v>
      </c>
      <c r="B1369" s="9">
        <v>69</v>
      </c>
      <c r="C1369" s="9">
        <f t="shared" si="63"/>
        <v>20.7</v>
      </c>
      <c r="D1369" s="10">
        <v>82</v>
      </c>
      <c r="E1369" s="9">
        <f t="shared" si="64"/>
        <v>57.4</v>
      </c>
      <c r="F1369" s="9">
        <f t="shared" si="65"/>
        <v>78.1</v>
      </c>
    </row>
    <row r="1370" s="1" customFormat="1" spans="1:6">
      <c r="A1370" s="8" t="str">
        <f>"2020894618"</f>
        <v>2020894618</v>
      </c>
      <c r="B1370" s="9">
        <v>64</v>
      </c>
      <c r="C1370" s="9">
        <f t="shared" si="63"/>
        <v>19.2</v>
      </c>
      <c r="D1370" s="10">
        <v>72</v>
      </c>
      <c r="E1370" s="9">
        <f t="shared" si="64"/>
        <v>50.4</v>
      </c>
      <c r="F1370" s="9">
        <f t="shared" si="65"/>
        <v>69.6</v>
      </c>
    </row>
    <row r="1371" s="1" customFormat="1" spans="1:6">
      <c r="A1371" s="8" t="str">
        <f>"2020894619"</f>
        <v>2020894619</v>
      </c>
      <c r="B1371" s="9">
        <v>70</v>
      </c>
      <c r="C1371" s="9">
        <f t="shared" si="63"/>
        <v>21</v>
      </c>
      <c r="D1371" s="10">
        <v>76</v>
      </c>
      <c r="E1371" s="9">
        <f t="shared" si="64"/>
        <v>53.2</v>
      </c>
      <c r="F1371" s="9">
        <f t="shared" si="65"/>
        <v>74.2</v>
      </c>
    </row>
    <row r="1372" s="1" customFormat="1" spans="1:6">
      <c r="A1372" s="8" t="str">
        <f>"2020894620"</f>
        <v>2020894620</v>
      </c>
      <c r="B1372" s="9">
        <v>73</v>
      </c>
      <c r="C1372" s="9">
        <f t="shared" si="63"/>
        <v>21.9</v>
      </c>
      <c r="D1372" s="10">
        <v>80</v>
      </c>
      <c r="E1372" s="9">
        <f t="shared" si="64"/>
        <v>56</v>
      </c>
      <c r="F1372" s="9">
        <f t="shared" si="65"/>
        <v>77.9</v>
      </c>
    </row>
    <row r="1373" s="1" customFormat="1" spans="1:6">
      <c r="A1373" s="8" t="str">
        <f>"2020894621"</f>
        <v>2020894621</v>
      </c>
      <c r="B1373" s="9">
        <v>53</v>
      </c>
      <c r="C1373" s="9">
        <f t="shared" si="63"/>
        <v>15.9</v>
      </c>
      <c r="D1373" s="10">
        <v>51</v>
      </c>
      <c r="E1373" s="9">
        <f t="shared" si="64"/>
        <v>35.7</v>
      </c>
      <c r="F1373" s="9">
        <f t="shared" si="65"/>
        <v>51.6</v>
      </c>
    </row>
    <row r="1374" s="1" customFormat="1" spans="1:6">
      <c r="A1374" s="8" t="str">
        <f>"2020894622"</f>
        <v>2020894622</v>
      </c>
      <c r="B1374" s="9">
        <v>69</v>
      </c>
      <c r="C1374" s="9">
        <f t="shared" si="63"/>
        <v>20.7</v>
      </c>
      <c r="D1374" s="10">
        <v>65</v>
      </c>
      <c r="E1374" s="9">
        <f t="shared" si="64"/>
        <v>45.5</v>
      </c>
      <c r="F1374" s="9">
        <f t="shared" si="65"/>
        <v>66.2</v>
      </c>
    </row>
    <row r="1375" s="1" customFormat="1" spans="1:6">
      <c r="A1375" s="8" t="str">
        <f>"2020894623"</f>
        <v>2020894623</v>
      </c>
      <c r="B1375" s="9">
        <v>69</v>
      </c>
      <c r="C1375" s="9">
        <f t="shared" si="63"/>
        <v>20.7</v>
      </c>
      <c r="D1375" s="10">
        <v>87</v>
      </c>
      <c r="E1375" s="9">
        <f t="shared" si="64"/>
        <v>60.9</v>
      </c>
      <c r="F1375" s="9">
        <f t="shared" si="65"/>
        <v>81.6</v>
      </c>
    </row>
    <row r="1376" s="1" customFormat="1" spans="1:6">
      <c r="A1376" s="8" t="str">
        <f>"2020894624"</f>
        <v>2020894624</v>
      </c>
      <c r="B1376" s="9">
        <v>75</v>
      </c>
      <c r="C1376" s="9">
        <f t="shared" si="63"/>
        <v>22.5</v>
      </c>
      <c r="D1376" s="10">
        <v>64</v>
      </c>
      <c r="E1376" s="9">
        <f t="shared" si="64"/>
        <v>44.8</v>
      </c>
      <c r="F1376" s="9">
        <f t="shared" si="65"/>
        <v>67.3</v>
      </c>
    </row>
    <row r="1377" s="1" customFormat="1" spans="1:6">
      <c r="A1377" s="8" t="str">
        <f>"2020894625"</f>
        <v>2020894625</v>
      </c>
      <c r="B1377" s="9">
        <v>75</v>
      </c>
      <c r="C1377" s="9">
        <f t="shared" si="63"/>
        <v>22.5</v>
      </c>
      <c r="D1377" s="10">
        <v>70</v>
      </c>
      <c r="E1377" s="9">
        <f t="shared" si="64"/>
        <v>49</v>
      </c>
      <c r="F1377" s="9">
        <f t="shared" si="65"/>
        <v>71.5</v>
      </c>
    </row>
    <row r="1378" s="1" customFormat="1" spans="1:6">
      <c r="A1378" s="8" t="str">
        <f>"2020894626"</f>
        <v>2020894626</v>
      </c>
      <c r="B1378" s="9">
        <v>0</v>
      </c>
      <c r="C1378" s="9">
        <f t="shared" si="63"/>
        <v>0</v>
      </c>
      <c r="D1378" s="10">
        <v>0</v>
      </c>
      <c r="E1378" s="9">
        <f t="shared" si="64"/>
        <v>0</v>
      </c>
      <c r="F1378" s="9">
        <f t="shared" si="65"/>
        <v>0</v>
      </c>
    </row>
    <row r="1379" s="1" customFormat="1" spans="1:6">
      <c r="A1379" s="8" t="str">
        <f>"2020894627"</f>
        <v>2020894627</v>
      </c>
      <c r="B1379" s="9">
        <v>67</v>
      </c>
      <c r="C1379" s="9">
        <f t="shared" si="63"/>
        <v>20.1</v>
      </c>
      <c r="D1379" s="10">
        <v>80</v>
      </c>
      <c r="E1379" s="9">
        <f t="shared" si="64"/>
        <v>56</v>
      </c>
      <c r="F1379" s="9">
        <f t="shared" si="65"/>
        <v>76.1</v>
      </c>
    </row>
    <row r="1380" s="1" customFormat="1" spans="1:6">
      <c r="A1380" s="8" t="str">
        <f>"2020894628"</f>
        <v>2020894628</v>
      </c>
      <c r="B1380" s="9">
        <v>66</v>
      </c>
      <c r="C1380" s="9">
        <f t="shared" si="63"/>
        <v>19.8</v>
      </c>
      <c r="D1380" s="10">
        <v>82</v>
      </c>
      <c r="E1380" s="9">
        <f t="shared" si="64"/>
        <v>57.4</v>
      </c>
      <c r="F1380" s="9">
        <f t="shared" si="65"/>
        <v>77.2</v>
      </c>
    </row>
    <row r="1381" s="1" customFormat="1" spans="1:6">
      <c r="A1381" s="8" t="str">
        <f>"2020894629"</f>
        <v>2020894629</v>
      </c>
      <c r="B1381" s="9">
        <v>0</v>
      </c>
      <c r="C1381" s="9">
        <f t="shared" si="63"/>
        <v>0</v>
      </c>
      <c r="D1381" s="10">
        <v>0</v>
      </c>
      <c r="E1381" s="9">
        <f t="shared" si="64"/>
        <v>0</v>
      </c>
      <c r="F1381" s="9">
        <f t="shared" si="65"/>
        <v>0</v>
      </c>
    </row>
    <row r="1382" s="1" customFormat="1" spans="1:6">
      <c r="A1382" s="8" t="str">
        <f>"2020894630"</f>
        <v>2020894630</v>
      </c>
      <c r="B1382" s="9">
        <v>64</v>
      </c>
      <c r="C1382" s="9">
        <f t="shared" si="63"/>
        <v>19.2</v>
      </c>
      <c r="D1382" s="10">
        <v>64</v>
      </c>
      <c r="E1382" s="9">
        <f t="shared" si="64"/>
        <v>44.8</v>
      </c>
      <c r="F1382" s="9">
        <f t="shared" si="65"/>
        <v>64</v>
      </c>
    </row>
    <row r="1383" s="1" customFormat="1" spans="1:6">
      <c r="A1383" s="8" t="str">
        <f>"2020894701"</f>
        <v>2020894701</v>
      </c>
      <c r="B1383" s="9">
        <v>52</v>
      </c>
      <c r="C1383" s="9">
        <f t="shared" si="63"/>
        <v>15.6</v>
      </c>
      <c r="D1383" s="10">
        <v>54</v>
      </c>
      <c r="E1383" s="9">
        <f t="shared" si="64"/>
        <v>37.8</v>
      </c>
      <c r="F1383" s="9">
        <f t="shared" si="65"/>
        <v>53.4</v>
      </c>
    </row>
    <row r="1384" s="1" customFormat="1" spans="1:6">
      <c r="A1384" s="8" t="str">
        <f>"2020894702"</f>
        <v>2020894702</v>
      </c>
      <c r="B1384" s="9">
        <v>79</v>
      </c>
      <c r="C1384" s="9">
        <f t="shared" si="63"/>
        <v>23.7</v>
      </c>
      <c r="D1384" s="10">
        <v>68</v>
      </c>
      <c r="E1384" s="9">
        <f t="shared" si="64"/>
        <v>47.6</v>
      </c>
      <c r="F1384" s="9">
        <f t="shared" si="65"/>
        <v>71.3</v>
      </c>
    </row>
    <row r="1385" s="1" customFormat="1" spans="1:6">
      <c r="A1385" s="8" t="str">
        <f>"2020894703"</f>
        <v>2020894703</v>
      </c>
      <c r="B1385" s="9">
        <v>70</v>
      </c>
      <c r="C1385" s="9">
        <f t="shared" si="63"/>
        <v>21</v>
      </c>
      <c r="D1385" s="10">
        <v>85</v>
      </c>
      <c r="E1385" s="9">
        <f t="shared" si="64"/>
        <v>59.5</v>
      </c>
      <c r="F1385" s="9">
        <f t="shared" si="65"/>
        <v>80.5</v>
      </c>
    </row>
    <row r="1386" s="1" customFormat="1" spans="1:6">
      <c r="A1386" s="8" t="str">
        <f>"2020894704"</f>
        <v>2020894704</v>
      </c>
      <c r="B1386" s="9">
        <v>66</v>
      </c>
      <c r="C1386" s="9">
        <f t="shared" si="63"/>
        <v>19.8</v>
      </c>
      <c r="D1386" s="10">
        <v>38</v>
      </c>
      <c r="E1386" s="9">
        <f t="shared" si="64"/>
        <v>26.6</v>
      </c>
      <c r="F1386" s="9">
        <f t="shared" si="65"/>
        <v>46.4</v>
      </c>
    </row>
    <row r="1387" s="1" customFormat="1" spans="1:6">
      <c r="A1387" s="8" t="str">
        <f>"2020894705"</f>
        <v>2020894705</v>
      </c>
      <c r="B1387" s="9">
        <v>71</v>
      </c>
      <c r="C1387" s="9">
        <f t="shared" si="63"/>
        <v>21.3</v>
      </c>
      <c r="D1387" s="10">
        <v>67</v>
      </c>
      <c r="E1387" s="9">
        <f t="shared" si="64"/>
        <v>46.9</v>
      </c>
      <c r="F1387" s="9">
        <f t="shared" si="65"/>
        <v>68.2</v>
      </c>
    </row>
    <row r="1388" s="1" customFormat="1" spans="1:6">
      <c r="A1388" s="8" t="str">
        <f>"2020894706"</f>
        <v>2020894706</v>
      </c>
      <c r="B1388" s="9">
        <v>63</v>
      </c>
      <c r="C1388" s="9">
        <f t="shared" si="63"/>
        <v>18.9</v>
      </c>
      <c r="D1388" s="10">
        <v>48</v>
      </c>
      <c r="E1388" s="9">
        <f t="shared" si="64"/>
        <v>33.6</v>
      </c>
      <c r="F1388" s="9">
        <f t="shared" si="65"/>
        <v>52.5</v>
      </c>
    </row>
    <row r="1389" s="1" customFormat="1" spans="1:6">
      <c r="A1389" s="8" t="str">
        <f>"2020894707"</f>
        <v>2020894707</v>
      </c>
      <c r="B1389" s="9">
        <v>60</v>
      </c>
      <c r="C1389" s="9">
        <f t="shared" si="63"/>
        <v>18</v>
      </c>
      <c r="D1389" s="10">
        <v>51</v>
      </c>
      <c r="E1389" s="9">
        <f t="shared" si="64"/>
        <v>35.7</v>
      </c>
      <c r="F1389" s="9">
        <f t="shared" si="65"/>
        <v>53.7</v>
      </c>
    </row>
    <row r="1390" s="1" customFormat="1" spans="1:6">
      <c r="A1390" s="8" t="str">
        <f>"2020894708"</f>
        <v>2020894708</v>
      </c>
      <c r="B1390" s="9">
        <v>62</v>
      </c>
      <c r="C1390" s="9">
        <f t="shared" si="63"/>
        <v>18.6</v>
      </c>
      <c r="D1390" s="10">
        <v>90</v>
      </c>
      <c r="E1390" s="9">
        <f t="shared" si="64"/>
        <v>63</v>
      </c>
      <c r="F1390" s="9">
        <f t="shared" si="65"/>
        <v>81.6</v>
      </c>
    </row>
    <row r="1391" s="1" customFormat="1" spans="1:6">
      <c r="A1391" s="8" t="str">
        <f>"2020894709"</f>
        <v>2020894709</v>
      </c>
      <c r="B1391" s="9">
        <v>0</v>
      </c>
      <c r="C1391" s="9">
        <f t="shared" si="63"/>
        <v>0</v>
      </c>
      <c r="D1391" s="10">
        <v>0</v>
      </c>
      <c r="E1391" s="9">
        <f t="shared" si="64"/>
        <v>0</v>
      </c>
      <c r="F1391" s="9">
        <f t="shared" si="65"/>
        <v>0</v>
      </c>
    </row>
    <row r="1392" s="1" customFormat="1" spans="1:6">
      <c r="A1392" s="8" t="str">
        <f>"2020894710"</f>
        <v>2020894710</v>
      </c>
      <c r="B1392" s="9">
        <v>68</v>
      </c>
      <c r="C1392" s="9">
        <f t="shared" si="63"/>
        <v>20.4</v>
      </c>
      <c r="D1392" s="10">
        <v>65</v>
      </c>
      <c r="E1392" s="9">
        <f t="shared" si="64"/>
        <v>45.5</v>
      </c>
      <c r="F1392" s="9">
        <f t="shared" si="65"/>
        <v>65.9</v>
      </c>
    </row>
    <row r="1393" s="1" customFormat="1" spans="1:6">
      <c r="A1393" s="8" t="str">
        <f>"2020894711"</f>
        <v>2020894711</v>
      </c>
      <c r="B1393" s="9">
        <v>72</v>
      </c>
      <c r="C1393" s="9">
        <f t="shared" si="63"/>
        <v>21.6</v>
      </c>
      <c r="D1393" s="10">
        <v>60</v>
      </c>
      <c r="E1393" s="9">
        <f t="shared" si="64"/>
        <v>42</v>
      </c>
      <c r="F1393" s="9">
        <f t="shared" si="65"/>
        <v>63.6</v>
      </c>
    </row>
    <row r="1394" s="1" customFormat="1" spans="1:6">
      <c r="A1394" s="8" t="str">
        <f>"2020894712"</f>
        <v>2020894712</v>
      </c>
      <c r="B1394" s="9">
        <v>0</v>
      </c>
      <c r="C1394" s="9">
        <f t="shared" si="63"/>
        <v>0</v>
      </c>
      <c r="D1394" s="10">
        <v>0</v>
      </c>
      <c r="E1394" s="9">
        <f t="shared" si="64"/>
        <v>0</v>
      </c>
      <c r="F1394" s="9">
        <f t="shared" si="65"/>
        <v>0</v>
      </c>
    </row>
    <row r="1395" s="1" customFormat="1" spans="1:6">
      <c r="A1395" s="8" t="str">
        <f>"2020894713"</f>
        <v>2020894713</v>
      </c>
      <c r="B1395" s="9">
        <v>59</v>
      </c>
      <c r="C1395" s="9">
        <f t="shared" si="63"/>
        <v>17.7</v>
      </c>
      <c r="D1395" s="10">
        <v>57</v>
      </c>
      <c r="E1395" s="9">
        <f t="shared" si="64"/>
        <v>39.9</v>
      </c>
      <c r="F1395" s="9">
        <f t="shared" si="65"/>
        <v>57.6</v>
      </c>
    </row>
    <row r="1396" s="1" customFormat="1" spans="1:6">
      <c r="A1396" s="8" t="str">
        <f>"2020894714"</f>
        <v>2020894714</v>
      </c>
      <c r="B1396" s="9">
        <v>71</v>
      </c>
      <c r="C1396" s="9">
        <f t="shared" si="63"/>
        <v>21.3</v>
      </c>
      <c r="D1396" s="10">
        <v>81</v>
      </c>
      <c r="E1396" s="9">
        <f t="shared" si="64"/>
        <v>56.7</v>
      </c>
      <c r="F1396" s="9">
        <f t="shared" si="65"/>
        <v>78</v>
      </c>
    </row>
    <row r="1397" s="1" customFormat="1" spans="1:6">
      <c r="A1397" s="8" t="str">
        <f>"2020894715"</f>
        <v>2020894715</v>
      </c>
      <c r="B1397" s="9">
        <v>75</v>
      </c>
      <c r="C1397" s="9">
        <f t="shared" si="63"/>
        <v>22.5</v>
      </c>
      <c r="D1397" s="10">
        <v>89</v>
      </c>
      <c r="E1397" s="9">
        <f t="shared" si="64"/>
        <v>62.3</v>
      </c>
      <c r="F1397" s="9">
        <f t="shared" si="65"/>
        <v>84.8</v>
      </c>
    </row>
    <row r="1398" s="1" customFormat="1" spans="1:6">
      <c r="A1398" s="8" t="str">
        <f>"2020894716"</f>
        <v>2020894716</v>
      </c>
      <c r="B1398" s="9">
        <v>66</v>
      </c>
      <c r="C1398" s="9">
        <f t="shared" si="63"/>
        <v>19.8</v>
      </c>
      <c r="D1398" s="10">
        <v>82</v>
      </c>
      <c r="E1398" s="9">
        <f t="shared" si="64"/>
        <v>57.4</v>
      </c>
      <c r="F1398" s="9">
        <f t="shared" si="65"/>
        <v>77.2</v>
      </c>
    </row>
    <row r="1399" s="1" customFormat="1" spans="1:6">
      <c r="A1399" s="8" t="str">
        <f>"2020894717"</f>
        <v>2020894717</v>
      </c>
      <c r="B1399" s="9">
        <v>79</v>
      </c>
      <c r="C1399" s="9">
        <f t="shared" si="63"/>
        <v>23.7</v>
      </c>
      <c r="D1399" s="10">
        <v>64</v>
      </c>
      <c r="E1399" s="9">
        <f t="shared" si="64"/>
        <v>44.8</v>
      </c>
      <c r="F1399" s="9">
        <f t="shared" si="65"/>
        <v>68.5</v>
      </c>
    </row>
    <row r="1400" s="1" customFormat="1" spans="1:6">
      <c r="A1400" s="8" t="str">
        <f>"2020894718"</f>
        <v>2020894718</v>
      </c>
      <c r="B1400" s="9">
        <v>0</v>
      </c>
      <c r="C1400" s="9">
        <f t="shared" si="63"/>
        <v>0</v>
      </c>
      <c r="D1400" s="10">
        <v>0</v>
      </c>
      <c r="E1400" s="9">
        <f t="shared" si="64"/>
        <v>0</v>
      </c>
      <c r="F1400" s="9">
        <f t="shared" si="65"/>
        <v>0</v>
      </c>
    </row>
    <row r="1401" s="1" customFormat="1" spans="1:6">
      <c r="A1401" s="8" t="str">
        <f>"2020894719"</f>
        <v>2020894719</v>
      </c>
      <c r="B1401" s="9">
        <v>77</v>
      </c>
      <c r="C1401" s="9">
        <f t="shared" si="63"/>
        <v>23.1</v>
      </c>
      <c r="D1401" s="10">
        <v>76</v>
      </c>
      <c r="E1401" s="9">
        <f t="shared" si="64"/>
        <v>53.2</v>
      </c>
      <c r="F1401" s="9">
        <f t="shared" si="65"/>
        <v>76.3</v>
      </c>
    </row>
    <row r="1402" s="1" customFormat="1" spans="1:6">
      <c r="A1402" s="8" t="str">
        <f>"2020894720"</f>
        <v>2020894720</v>
      </c>
      <c r="B1402" s="9">
        <v>0</v>
      </c>
      <c r="C1402" s="9">
        <f t="shared" si="63"/>
        <v>0</v>
      </c>
      <c r="D1402" s="10">
        <v>0</v>
      </c>
      <c r="E1402" s="9">
        <f t="shared" si="64"/>
        <v>0</v>
      </c>
      <c r="F1402" s="9">
        <f t="shared" si="65"/>
        <v>0</v>
      </c>
    </row>
    <row r="1403" s="1" customFormat="1" spans="1:6">
      <c r="A1403" s="8" t="str">
        <f>"2020894721"</f>
        <v>2020894721</v>
      </c>
      <c r="B1403" s="9">
        <v>74</v>
      </c>
      <c r="C1403" s="9">
        <f t="shared" si="63"/>
        <v>22.2</v>
      </c>
      <c r="D1403" s="10">
        <v>71</v>
      </c>
      <c r="E1403" s="9">
        <f t="shared" si="64"/>
        <v>49.7</v>
      </c>
      <c r="F1403" s="9">
        <f t="shared" si="65"/>
        <v>71.9</v>
      </c>
    </row>
    <row r="1404" s="1" customFormat="1" spans="1:6">
      <c r="A1404" s="8" t="str">
        <f>"2020894722"</f>
        <v>2020894722</v>
      </c>
      <c r="B1404" s="9">
        <v>66</v>
      </c>
      <c r="C1404" s="9">
        <f t="shared" si="63"/>
        <v>19.8</v>
      </c>
      <c r="D1404" s="10">
        <v>79</v>
      </c>
      <c r="E1404" s="9">
        <f t="shared" si="64"/>
        <v>55.3</v>
      </c>
      <c r="F1404" s="9">
        <f t="shared" si="65"/>
        <v>75.1</v>
      </c>
    </row>
    <row r="1405" s="1" customFormat="1" spans="1:6">
      <c r="A1405" s="8" t="str">
        <f>"2020894723"</f>
        <v>2020894723</v>
      </c>
      <c r="B1405" s="9">
        <v>80</v>
      </c>
      <c r="C1405" s="9">
        <f t="shared" si="63"/>
        <v>24</v>
      </c>
      <c r="D1405" s="10">
        <v>84</v>
      </c>
      <c r="E1405" s="9">
        <f t="shared" si="64"/>
        <v>58.8</v>
      </c>
      <c r="F1405" s="9">
        <f t="shared" si="65"/>
        <v>82.8</v>
      </c>
    </row>
    <row r="1406" s="1" customFormat="1" spans="1:6">
      <c r="A1406" s="8" t="str">
        <f>"2020894724"</f>
        <v>2020894724</v>
      </c>
      <c r="B1406" s="9">
        <v>0</v>
      </c>
      <c r="C1406" s="9">
        <f t="shared" si="63"/>
        <v>0</v>
      </c>
      <c r="D1406" s="10">
        <v>0</v>
      </c>
      <c r="E1406" s="9">
        <f t="shared" si="64"/>
        <v>0</v>
      </c>
      <c r="F1406" s="9">
        <f t="shared" si="65"/>
        <v>0</v>
      </c>
    </row>
    <row r="1407" s="1" customFormat="1" spans="1:6">
      <c r="A1407" s="8" t="str">
        <f>"2020894725"</f>
        <v>2020894725</v>
      </c>
      <c r="B1407" s="9">
        <v>76</v>
      </c>
      <c r="C1407" s="9">
        <f t="shared" si="63"/>
        <v>22.8</v>
      </c>
      <c r="D1407" s="10">
        <v>78</v>
      </c>
      <c r="E1407" s="9">
        <f t="shared" si="64"/>
        <v>54.6</v>
      </c>
      <c r="F1407" s="9">
        <f t="shared" si="65"/>
        <v>77.4</v>
      </c>
    </row>
    <row r="1408" s="1" customFormat="1" spans="1:6">
      <c r="A1408" s="8" t="str">
        <f>"2020894726"</f>
        <v>2020894726</v>
      </c>
      <c r="B1408" s="9">
        <v>73</v>
      </c>
      <c r="C1408" s="9">
        <f t="shared" si="63"/>
        <v>21.9</v>
      </c>
      <c r="D1408" s="10">
        <v>89</v>
      </c>
      <c r="E1408" s="9">
        <f t="shared" si="64"/>
        <v>62.3</v>
      </c>
      <c r="F1408" s="9">
        <f t="shared" si="65"/>
        <v>84.2</v>
      </c>
    </row>
    <row r="1409" s="1" customFormat="1" spans="1:6">
      <c r="A1409" s="8" t="str">
        <f>"2020894727"</f>
        <v>2020894727</v>
      </c>
      <c r="B1409" s="9">
        <v>0</v>
      </c>
      <c r="C1409" s="9">
        <f t="shared" si="63"/>
        <v>0</v>
      </c>
      <c r="D1409" s="10">
        <v>0</v>
      </c>
      <c r="E1409" s="9">
        <f t="shared" si="64"/>
        <v>0</v>
      </c>
      <c r="F1409" s="9">
        <f t="shared" si="65"/>
        <v>0</v>
      </c>
    </row>
    <row r="1410" s="1" customFormat="1" spans="1:6">
      <c r="A1410" s="8" t="str">
        <f>"2020894728"</f>
        <v>2020894728</v>
      </c>
      <c r="B1410" s="9">
        <v>70</v>
      </c>
      <c r="C1410" s="9">
        <f t="shared" si="63"/>
        <v>21</v>
      </c>
      <c r="D1410" s="10">
        <v>80</v>
      </c>
      <c r="E1410" s="9">
        <f t="shared" si="64"/>
        <v>56</v>
      </c>
      <c r="F1410" s="9">
        <f t="shared" si="65"/>
        <v>77</v>
      </c>
    </row>
    <row r="1411" s="1" customFormat="1" spans="1:6">
      <c r="A1411" s="8" t="str">
        <f>"2020894729"</f>
        <v>2020894729</v>
      </c>
      <c r="B1411" s="9">
        <v>72</v>
      </c>
      <c r="C1411" s="9">
        <f t="shared" ref="C1411:C1474" si="66">B1411*0.3</f>
        <v>21.6</v>
      </c>
      <c r="D1411" s="10">
        <v>59</v>
      </c>
      <c r="E1411" s="9">
        <f t="shared" ref="E1411:E1474" si="67">D1411*0.7</f>
        <v>41.3</v>
      </c>
      <c r="F1411" s="9">
        <f t="shared" ref="F1411:F1474" si="68">C1411+E1411</f>
        <v>62.9</v>
      </c>
    </row>
    <row r="1412" s="1" customFormat="1" spans="1:6">
      <c r="A1412" s="8" t="str">
        <f>"2020894730"</f>
        <v>2020894730</v>
      </c>
      <c r="B1412" s="9">
        <v>58</v>
      </c>
      <c r="C1412" s="9">
        <f t="shared" si="66"/>
        <v>17.4</v>
      </c>
      <c r="D1412" s="10">
        <v>68</v>
      </c>
      <c r="E1412" s="9">
        <f t="shared" si="67"/>
        <v>47.6</v>
      </c>
      <c r="F1412" s="9">
        <f t="shared" si="68"/>
        <v>65</v>
      </c>
    </row>
    <row r="1413" s="1" customFormat="1" spans="1:6">
      <c r="A1413" s="8" t="str">
        <f>"2020894801"</f>
        <v>2020894801</v>
      </c>
      <c r="B1413" s="9">
        <v>0</v>
      </c>
      <c r="C1413" s="9">
        <f t="shared" si="66"/>
        <v>0</v>
      </c>
      <c r="D1413" s="10">
        <v>0</v>
      </c>
      <c r="E1413" s="9">
        <f t="shared" si="67"/>
        <v>0</v>
      </c>
      <c r="F1413" s="9">
        <f t="shared" si="68"/>
        <v>0</v>
      </c>
    </row>
    <row r="1414" s="1" customFormat="1" spans="1:6">
      <c r="A1414" s="8" t="str">
        <f>"2020894802"</f>
        <v>2020894802</v>
      </c>
      <c r="B1414" s="9">
        <v>70</v>
      </c>
      <c r="C1414" s="9">
        <f t="shared" si="66"/>
        <v>21</v>
      </c>
      <c r="D1414" s="10">
        <v>78</v>
      </c>
      <c r="E1414" s="9">
        <f t="shared" si="67"/>
        <v>54.6</v>
      </c>
      <c r="F1414" s="9">
        <f t="shared" si="68"/>
        <v>75.6</v>
      </c>
    </row>
    <row r="1415" s="1" customFormat="1" spans="1:6">
      <c r="A1415" s="8" t="str">
        <f>"2020894803"</f>
        <v>2020894803</v>
      </c>
      <c r="B1415" s="9">
        <v>0</v>
      </c>
      <c r="C1415" s="9">
        <f t="shared" si="66"/>
        <v>0</v>
      </c>
      <c r="D1415" s="10">
        <v>0</v>
      </c>
      <c r="E1415" s="9">
        <f t="shared" si="67"/>
        <v>0</v>
      </c>
      <c r="F1415" s="9">
        <f t="shared" si="68"/>
        <v>0</v>
      </c>
    </row>
    <row r="1416" s="1" customFormat="1" spans="1:6">
      <c r="A1416" s="8" t="str">
        <f>"2020894804"</f>
        <v>2020894804</v>
      </c>
      <c r="B1416" s="9">
        <v>0</v>
      </c>
      <c r="C1416" s="9">
        <f t="shared" si="66"/>
        <v>0</v>
      </c>
      <c r="D1416" s="10">
        <v>0</v>
      </c>
      <c r="E1416" s="9">
        <f t="shared" si="67"/>
        <v>0</v>
      </c>
      <c r="F1416" s="9">
        <f t="shared" si="68"/>
        <v>0</v>
      </c>
    </row>
    <row r="1417" s="1" customFormat="1" spans="1:6">
      <c r="A1417" s="8" t="str">
        <f>"2020894805"</f>
        <v>2020894805</v>
      </c>
      <c r="B1417" s="9">
        <v>77</v>
      </c>
      <c r="C1417" s="9">
        <f t="shared" si="66"/>
        <v>23.1</v>
      </c>
      <c r="D1417" s="10">
        <v>40</v>
      </c>
      <c r="E1417" s="9">
        <f t="shared" si="67"/>
        <v>28</v>
      </c>
      <c r="F1417" s="9">
        <f t="shared" si="68"/>
        <v>51.1</v>
      </c>
    </row>
    <row r="1418" s="1" customFormat="1" spans="1:6">
      <c r="A1418" s="8" t="str">
        <f>"2020894806"</f>
        <v>2020894806</v>
      </c>
      <c r="B1418" s="9">
        <v>77</v>
      </c>
      <c r="C1418" s="9">
        <f t="shared" si="66"/>
        <v>23.1</v>
      </c>
      <c r="D1418" s="10">
        <v>58</v>
      </c>
      <c r="E1418" s="9">
        <f t="shared" si="67"/>
        <v>40.6</v>
      </c>
      <c r="F1418" s="9">
        <f t="shared" si="68"/>
        <v>63.7</v>
      </c>
    </row>
    <row r="1419" s="1" customFormat="1" spans="1:6">
      <c r="A1419" s="8" t="str">
        <f>"2020894807"</f>
        <v>2020894807</v>
      </c>
      <c r="B1419" s="9">
        <v>76</v>
      </c>
      <c r="C1419" s="9">
        <f t="shared" si="66"/>
        <v>22.8</v>
      </c>
      <c r="D1419" s="10">
        <v>55</v>
      </c>
      <c r="E1419" s="9">
        <f t="shared" si="67"/>
        <v>38.5</v>
      </c>
      <c r="F1419" s="9">
        <f t="shared" si="68"/>
        <v>61.3</v>
      </c>
    </row>
    <row r="1420" s="1" customFormat="1" spans="1:6">
      <c r="A1420" s="8" t="str">
        <f>"2020894808"</f>
        <v>2020894808</v>
      </c>
      <c r="B1420" s="9">
        <v>70</v>
      </c>
      <c r="C1420" s="9">
        <f t="shared" si="66"/>
        <v>21</v>
      </c>
      <c r="D1420" s="10">
        <v>59</v>
      </c>
      <c r="E1420" s="9">
        <f t="shared" si="67"/>
        <v>41.3</v>
      </c>
      <c r="F1420" s="9">
        <f t="shared" si="68"/>
        <v>62.3</v>
      </c>
    </row>
    <row r="1421" s="1" customFormat="1" spans="1:6">
      <c r="A1421" s="8" t="str">
        <f>"2020894809"</f>
        <v>2020894809</v>
      </c>
      <c r="B1421" s="9">
        <v>0</v>
      </c>
      <c r="C1421" s="9">
        <f t="shared" si="66"/>
        <v>0</v>
      </c>
      <c r="D1421" s="10">
        <v>0</v>
      </c>
      <c r="E1421" s="9">
        <f t="shared" si="67"/>
        <v>0</v>
      </c>
      <c r="F1421" s="9">
        <f t="shared" si="68"/>
        <v>0</v>
      </c>
    </row>
    <row r="1422" s="1" customFormat="1" spans="1:6">
      <c r="A1422" s="8" t="str">
        <f>"2020894810"</f>
        <v>2020894810</v>
      </c>
      <c r="B1422" s="9">
        <v>0</v>
      </c>
      <c r="C1422" s="9">
        <f t="shared" si="66"/>
        <v>0</v>
      </c>
      <c r="D1422" s="10">
        <v>0</v>
      </c>
      <c r="E1422" s="9">
        <f t="shared" si="67"/>
        <v>0</v>
      </c>
      <c r="F1422" s="9">
        <f t="shared" si="68"/>
        <v>0</v>
      </c>
    </row>
    <row r="1423" s="1" customFormat="1" spans="1:6">
      <c r="A1423" s="8" t="str">
        <f>"2020894811"</f>
        <v>2020894811</v>
      </c>
      <c r="B1423" s="9">
        <v>71</v>
      </c>
      <c r="C1423" s="9">
        <f t="shared" si="66"/>
        <v>21.3</v>
      </c>
      <c r="D1423" s="10">
        <v>77</v>
      </c>
      <c r="E1423" s="9">
        <f t="shared" si="67"/>
        <v>53.9</v>
      </c>
      <c r="F1423" s="9">
        <f t="shared" si="68"/>
        <v>75.2</v>
      </c>
    </row>
    <row r="1424" s="1" customFormat="1" spans="1:6">
      <c r="A1424" s="8" t="str">
        <f>"2020894812"</f>
        <v>2020894812</v>
      </c>
      <c r="B1424" s="9">
        <v>75</v>
      </c>
      <c r="C1424" s="9">
        <f t="shared" si="66"/>
        <v>22.5</v>
      </c>
      <c r="D1424" s="10">
        <v>66</v>
      </c>
      <c r="E1424" s="9">
        <f t="shared" si="67"/>
        <v>46.2</v>
      </c>
      <c r="F1424" s="9">
        <f t="shared" si="68"/>
        <v>68.7</v>
      </c>
    </row>
    <row r="1425" s="1" customFormat="1" spans="1:6">
      <c r="A1425" s="8" t="str">
        <f>"2020894813"</f>
        <v>2020894813</v>
      </c>
      <c r="B1425" s="9">
        <v>79</v>
      </c>
      <c r="C1425" s="9">
        <f t="shared" si="66"/>
        <v>23.7</v>
      </c>
      <c r="D1425" s="10">
        <v>57</v>
      </c>
      <c r="E1425" s="9">
        <f t="shared" si="67"/>
        <v>39.9</v>
      </c>
      <c r="F1425" s="9">
        <f t="shared" si="68"/>
        <v>63.6</v>
      </c>
    </row>
    <row r="1426" s="1" customFormat="1" spans="1:6">
      <c r="A1426" s="8" t="str">
        <f>"2020894814"</f>
        <v>2020894814</v>
      </c>
      <c r="B1426" s="9">
        <v>69</v>
      </c>
      <c r="C1426" s="9">
        <f t="shared" si="66"/>
        <v>20.7</v>
      </c>
      <c r="D1426" s="10">
        <v>37</v>
      </c>
      <c r="E1426" s="9">
        <f t="shared" si="67"/>
        <v>25.9</v>
      </c>
      <c r="F1426" s="9">
        <f t="shared" si="68"/>
        <v>46.6</v>
      </c>
    </row>
    <row r="1427" s="1" customFormat="1" spans="1:6">
      <c r="A1427" s="8" t="str">
        <f>"2020894815"</f>
        <v>2020894815</v>
      </c>
      <c r="B1427" s="9">
        <v>73</v>
      </c>
      <c r="C1427" s="9">
        <f t="shared" si="66"/>
        <v>21.9</v>
      </c>
      <c r="D1427" s="10">
        <v>46</v>
      </c>
      <c r="E1427" s="9">
        <f t="shared" si="67"/>
        <v>32.2</v>
      </c>
      <c r="F1427" s="9">
        <f t="shared" si="68"/>
        <v>54.1</v>
      </c>
    </row>
    <row r="1428" s="1" customFormat="1" spans="1:6">
      <c r="A1428" s="8" t="str">
        <f>"2020894816"</f>
        <v>2020894816</v>
      </c>
      <c r="B1428" s="9">
        <v>71</v>
      </c>
      <c r="C1428" s="9">
        <f t="shared" si="66"/>
        <v>21.3</v>
      </c>
      <c r="D1428" s="10">
        <v>56</v>
      </c>
      <c r="E1428" s="9">
        <f t="shared" si="67"/>
        <v>39.2</v>
      </c>
      <c r="F1428" s="9">
        <f t="shared" si="68"/>
        <v>60.5</v>
      </c>
    </row>
    <row r="1429" s="1" customFormat="1" spans="1:6">
      <c r="A1429" s="8" t="str">
        <f>"2020894817"</f>
        <v>2020894817</v>
      </c>
      <c r="B1429" s="9">
        <v>0</v>
      </c>
      <c r="C1429" s="9">
        <f t="shared" si="66"/>
        <v>0</v>
      </c>
      <c r="D1429" s="10">
        <v>0</v>
      </c>
      <c r="E1429" s="9">
        <f t="shared" si="67"/>
        <v>0</v>
      </c>
      <c r="F1429" s="9">
        <f t="shared" si="68"/>
        <v>0</v>
      </c>
    </row>
    <row r="1430" s="1" customFormat="1" spans="1:6">
      <c r="A1430" s="8" t="str">
        <f>"2020894818"</f>
        <v>2020894818</v>
      </c>
      <c r="B1430" s="9">
        <v>80</v>
      </c>
      <c r="C1430" s="9">
        <f t="shared" si="66"/>
        <v>24</v>
      </c>
      <c r="D1430" s="10">
        <v>43</v>
      </c>
      <c r="E1430" s="9">
        <f t="shared" si="67"/>
        <v>30.1</v>
      </c>
      <c r="F1430" s="9">
        <f t="shared" si="68"/>
        <v>54.1</v>
      </c>
    </row>
    <row r="1431" s="1" customFormat="1" spans="1:6">
      <c r="A1431" s="8" t="str">
        <f>"2020894819"</f>
        <v>2020894819</v>
      </c>
      <c r="B1431" s="9">
        <v>83</v>
      </c>
      <c r="C1431" s="9">
        <f t="shared" si="66"/>
        <v>24.9</v>
      </c>
      <c r="D1431" s="10">
        <v>31</v>
      </c>
      <c r="E1431" s="9">
        <f t="shared" si="67"/>
        <v>21.7</v>
      </c>
      <c r="F1431" s="9">
        <f t="shared" si="68"/>
        <v>46.6</v>
      </c>
    </row>
    <row r="1432" s="1" customFormat="1" spans="1:6">
      <c r="A1432" s="8" t="str">
        <f>"2020894820"</f>
        <v>2020894820</v>
      </c>
      <c r="B1432" s="9">
        <v>76</v>
      </c>
      <c r="C1432" s="9">
        <f t="shared" si="66"/>
        <v>22.8</v>
      </c>
      <c r="D1432" s="10">
        <v>52</v>
      </c>
      <c r="E1432" s="9">
        <f t="shared" si="67"/>
        <v>36.4</v>
      </c>
      <c r="F1432" s="9">
        <f t="shared" si="68"/>
        <v>59.2</v>
      </c>
    </row>
    <row r="1433" s="1" customFormat="1" spans="1:6">
      <c r="A1433" s="8" t="str">
        <f>"2020894821"</f>
        <v>2020894821</v>
      </c>
      <c r="B1433" s="9">
        <v>85</v>
      </c>
      <c r="C1433" s="9">
        <f t="shared" si="66"/>
        <v>25.5</v>
      </c>
      <c r="D1433" s="10">
        <v>42</v>
      </c>
      <c r="E1433" s="9">
        <f t="shared" si="67"/>
        <v>29.4</v>
      </c>
      <c r="F1433" s="9">
        <f t="shared" si="68"/>
        <v>54.9</v>
      </c>
    </row>
    <row r="1434" s="1" customFormat="1" spans="1:6">
      <c r="A1434" s="8" t="str">
        <f>"2020894822"</f>
        <v>2020894822</v>
      </c>
      <c r="B1434" s="9">
        <v>66</v>
      </c>
      <c r="C1434" s="9">
        <f t="shared" si="66"/>
        <v>19.8</v>
      </c>
      <c r="D1434" s="10">
        <v>27</v>
      </c>
      <c r="E1434" s="9">
        <f t="shared" si="67"/>
        <v>18.9</v>
      </c>
      <c r="F1434" s="9">
        <f t="shared" si="68"/>
        <v>38.7</v>
      </c>
    </row>
    <row r="1435" s="1" customFormat="1" spans="1:6">
      <c r="A1435" s="8" t="str">
        <f>"2020894823"</f>
        <v>2020894823</v>
      </c>
      <c r="B1435" s="9">
        <v>81</v>
      </c>
      <c r="C1435" s="9">
        <f t="shared" si="66"/>
        <v>24.3</v>
      </c>
      <c r="D1435" s="10">
        <v>41</v>
      </c>
      <c r="E1435" s="9">
        <f t="shared" si="67"/>
        <v>28.7</v>
      </c>
      <c r="F1435" s="9">
        <f t="shared" si="68"/>
        <v>53</v>
      </c>
    </row>
    <row r="1436" s="1" customFormat="1" spans="1:6">
      <c r="A1436" s="8" t="str">
        <f>"2020894824"</f>
        <v>2020894824</v>
      </c>
      <c r="B1436" s="9">
        <v>83</v>
      </c>
      <c r="C1436" s="9">
        <f t="shared" si="66"/>
        <v>24.9</v>
      </c>
      <c r="D1436" s="10">
        <v>36</v>
      </c>
      <c r="E1436" s="9">
        <f t="shared" si="67"/>
        <v>25.2</v>
      </c>
      <c r="F1436" s="9">
        <f t="shared" si="68"/>
        <v>50.1</v>
      </c>
    </row>
    <row r="1437" s="1" customFormat="1" spans="1:6">
      <c r="A1437" s="8" t="str">
        <f>"2020894825"</f>
        <v>2020894825</v>
      </c>
      <c r="B1437" s="9">
        <v>82</v>
      </c>
      <c r="C1437" s="9">
        <f t="shared" si="66"/>
        <v>24.6</v>
      </c>
      <c r="D1437" s="10">
        <v>37</v>
      </c>
      <c r="E1437" s="9">
        <f t="shared" si="67"/>
        <v>25.9</v>
      </c>
      <c r="F1437" s="9">
        <f t="shared" si="68"/>
        <v>50.5</v>
      </c>
    </row>
    <row r="1438" s="1" customFormat="1" spans="1:6">
      <c r="A1438" s="8" t="str">
        <f>"2020894826"</f>
        <v>2020894826</v>
      </c>
      <c r="B1438" s="9">
        <v>78</v>
      </c>
      <c r="C1438" s="9">
        <f t="shared" si="66"/>
        <v>23.4</v>
      </c>
      <c r="D1438" s="10">
        <v>27</v>
      </c>
      <c r="E1438" s="9">
        <f t="shared" si="67"/>
        <v>18.9</v>
      </c>
      <c r="F1438" s="9">
        <f t="shared" si="68"/>
        <v>42.3</v>
      </c>
    </row>
    <row r="1439" s="1" customFormat="1" spans="1:6">
      <c r="A1439" s="8" t="str">
        <f>"2020894827"</f>
        <v>2020894827</v>
      </c>
      <c r="B1439" s="9">
        <v>82</v>
      </c>
      <c r="C1439" s="9">
        <f t="shared" si="66"/>
        <v>24.6</v>
      </c>
      <c r="D1439" s="10">
        <v>41</v>
      </c>
      <c r="E1439" s="9">
        <f t="shared" si="67"/>
        <v>28.7</v>
      </c>
      <c r="F1439" s="9">
        <f t="shared" si="68"/>
        <v>53.3</v>
      </c>
    </row>
    <row r="1440" s="1" customFormat="1" spans="1:6">
      <c r="A1440" s="8" t="str">
        <f>"2020894828"</f>
        <v>2020894828</v>
      </c>
      <c r="B1440" s="9">
        <v>67</v>
      </c>
      <c r="C1440" s="9">
        <f t="shared" si="66"/>
        <v>20.1</v>
      </c>
      <c r="D1440" s="10">
        <v>37</v>
      </c>
      <c r="E1440" s="9">
        <f t="shared" si="67"/>
        <v>25.9</v>
      </c>
      <c r="F1440" s="9">
        <f t="shared" si="68"/>
        <v>46</v>
      </c>
    </row>
    <row r="1441" s="1" customFormat="1" spans="1:6">
      <c r="A1441" s="8" t="str">
        <f>"2020894829"</f>
        <v>2020894829</v>
      </c>
      <c r="B1441" s="9">
        <v>75</v>
      </c>
      <c r="C1441" s="9">
        <f t="shared" si="66"/>
        <v>22.5</v>
      </c>
      <c r="D1441" s="10">
        <v>27</v>
      </c>
      <c r="E1441" s="9">
        <f t="shared" si="67"/>
        <v>18.9</v>
      </c>
      <c r="F1441" s="9">
        <f t="shared" si="68"/>
        <v>41.4</v>
      </c>
    </row>
    <row r="1442" s="1" customFormat="1" spans="1:6">
      <c r="A1442" s="8" t="str">
        <f>"2020894830"</f>
        <v>2020894830</v>
      </c>
      <c r="B1442" s="9">
        <v>79</v>
      </c>
      <c r="C1442" s="9">
        <f t="shared" si="66"/>
        <v>23.7</v>
      </c>
      <c r="D1442" s="10">
        <v>35</v>
      </c>
      <c r="E1442" s="9">
        <f t="shared" si="67"/>
        <v>24.5</v>
      </c>
      <c r="F1442" s="9">
        <f t="shared" si="68"/>
        <v>48.2</v>
      </c>
    </row>
    <row r="1443" s="1" customFormat="1" spans="1:6">
      <c r="A1443" s="8" t="str">
        <f>"2020894901"</f>
        <v>2020894901</v>
      </c>
      <c r="B1443" s="9">
        <v>80</v>
      </c>
      <c r="C1443" s="9">
        <f t="shared" si="66"/>
        <v>24</v>
      </c>
      <c r="D1443" s="10">
        <v>40</v>
      </c>
      <c r="E1443" s="9">
        <f t="shared" si="67"/>
        <v>28</v>
      </c>
      <c r="F1443" s="9">
        <f t="shared" si="68"/>
        <v>52</v>
      </c>
    </row>
    <row r="1444" s="1" customFormat="1" spans="1:6">
      <c r="A1444" s="8" t="str">
        <f>"2020894902"</f>
        <v>2020894902</v>
      </c>
      <c r="B1444" s="9">
        <v>80</v>
      </c>
      <c r="C1444" s="9">
        <f t="shared" si="66"/>
        <v>24</v>
      </c>
      <c r="D1444" s="10">
        <v>49</v>
      </c>
      <c r="E1444" s="9">
        <f t="shared" si="67"/>
        <v>34.3</v>
      </c>
      <c r="F1444" s="9">
        <f t="shared" si="68"/>
        <v>58.3</v>
      </c>
    </row>
    <row r="1445" s="1" customFormat="1" spans="1:6">
      <c r="A1445" s="8" t="str">
        <f>"2020894903"</f>
        <v>2020894903</v>
      </c>
      <c r="B1445" s="9">
        <v>81</v>
      </c>
      <c r="C1445" s="9">
        <f t="shared" si="66"/>
        <v>24.3</v>
      </c>
      <c r="D1445" s="10">
        <v>77</v>
      </c>
      <c r="E1445" s="9">
        <f t="shared" si="67"/>
        <v>53.9</v>
      </c>
      <c r="F1445" s="9">
        <f t="shared" si="68"/>
        <v>78.2</v>
      </c>
    </row>
    <row r="1446" s="1" customFormat="1" spans="1:6">
      <c r="A1446" s="8" t="str">
        <f>"2020894904"</f>
        <v>2020894904</v>
      </c>
      <c r="B1446" s="9">
        <v>80</v>
      </c>
      <c r="C1446" s="9">
        <f t="shared" si="66"/>
        <v>24</v>
      </c>
      <c r="D1446" s="10">
        <v>44</v>
      </c>
      <c r="E1446" s="9">
        <f t="shared" si="67"/>
        <v>30.8</v>
      </c>
      <c r="F1446" s="9">
        <f t="shared" si="68"/>
        <v>54.8</v>
      </c>
    </row>
    <row r="1447" s="1" customFormat="1" spans="1:6">
      <c r="A1447" s="8" t="str">
        <f>"2020894905"</f>
        <v>2020894905</v>
      </c>
      <c r="B1447" s="9">
        <v>71</v>
      </c>
      <c r="C1447" s="9">
        <f t="shared" si="66"/>
        <v>21.3</v>
      </c>
      <c r="D1447" s="10">
        <v>49</v>
      </c>
      <c r="E1447" s="9">
        <f t="shared" si="67"/>
        <v>34.3</v>
      </c>
      <c r="F1447" s="9">
        <f t="shared" si="68"/>
        <v>55.6</v>
      </c>
    </row>
    <row r="1448" s="1" customFormat="1" spans="1:6">
      <c r="A1448" s="8" t="str">
        <f>"2020894906"</f>
        <v>2020894906</v>
      </c>
      <c r="B1448" s="9">
        <v>0</v>
      </c>
      <c r="C1448" s="9">
        <f t="shared" si="66"/>
        <v>0</v>
      </c>
      <c r="D1448" s="10">
        <v>0</v>
      </c>
      <c r="E1448" s="9">
        <f t="shared" si="67"/>
        <v>0</v>
      </c>
      <c r="F1448" s="9">
        <f t="shared" si="68"/>
        <v>0</v>
      </c>
    </row>
    <row r="1449" s="1" customFormat="1" spans="1:6">
      <c r="A1449" s="8" t="str">
        <f>"2020894907"</f>
        <v>2020894907</v>
      </c>
      <c r="B1449" s="9">
        <v>76</v>
      </c>
      <c r="C1449" s="9">
        <f t="shared" si="66"/>
        <v>22.8</v>
      </c>
      <c r="D1449" s="10">
        <v>32</v>
      </c>
      <c r="E1449" s="9">
        <f t="shared" si="67"/>
        <v>22.4</v>
      </c>
      <c r="F1449" s="9">
        <f t="shared" si="68"/>
        <v>45.2</v>
      </c>
    </row>
    <row r="1450" s="1" customFormat="1" spans="1:6">
      <c r="A1450" s="8" t="str">
        <f>"2020894908"</f>
        <v>2020894908</v>
      </c>
      <c r="B1450" s="9">
        <v>0</v>
      </c>
      <c r="C1450" s="9">
        <f t="shared" si="66"/>
        <v>0</v>
      </c>
      <c r="D1450" s="10">
        <v>0</v>
      </c>
      <c r="E1450" s="9">
        <f t="shared" si="67"/>
        <v>0</v>
      </c>
      <c r="F1450" s="9">
        <f t="shared" si="68"/>
        <v>0</v>
      </c>
    </row>
    <row r="1451" s="1" customFormat="1" spans="1:6">
      <c r="A1451" s="8" t="str">
        <f>"2020894909"</f>
        <v>2020894909</v>
      </c>
      <c r="B1451" s="9">
        <v>80</v>
      </c>
      <c r="C1451" s="9">
        <f t="shared" si="66"/>
        <v>24</v>
      </c>
      <c r="D1451" s="10">
        <v>73</v>
      </c>
      <c r="E1451" s="9">
        <f t="shared" si="67"/>
        <v>51.1</v>
      </c>
      <c r="F1451" s="9">
        <f t="shared" si="68"/>
        <v>75.1</v>
      </c>
    </row>
    <row r="1452" s="1" customFormat="1" spans="1:6">
      <c r="A1452" s="8" t="str">
        <f>"2020894910"</f>
        <v>2020894910</v>
      </c>
      <c r="B1452" s="9">
        <v>56</v>
      </c>
      <c r="C1452" s="9">
        <f t="shared" si="66"/>
        <v>16.8</v>
      </c>
      <c r="D1452" s="10">
        <v>60</v>
      </c>
      <c r="E1452" s="9">
        <f t="shared" si="67"/>
        <v>42</v>
      </c>
      <c r="F1452" s="9">
        <f t="shared" si="68"/>
        <v>58.8</v>
      </c>
    </row>
    <row r="1453" s="1" customFormat="1" spans="1:6">
      <c r="A1453" s="8" t="str">
        <f>"2020894911"</f>
        <v>2020894911</v>
      </c>
      <c r="B1453" s="9">
        <v>80</v>
      </c>
      <c r="C1453" s="9">
        <f t="shared" si="66"/>
        <v>24</v>
      </c>
      <c r="D1453" s="10">
        <v>47</v>
      </c>
      <c r="E1453" s="9">
        <f t="shared" si="67"/>
        <v>32.9</v>
      </c>
      <c r="F1453" s="9">
        <f t="shared" si="68"/>
        <v>56.9</v>
      </c>
    </row>
    <row r="1454" s="1" customFormat="1" spans="1:6">
      <c r="A1454" s="8" t="str">
        <f>"2020894912"</f>
        <v>2020894912</v>
      </c>
      <c r="B1454" s="9">
        <v>0</v>
      </c>
      <c r="C1454" s="9">
        <f t="shared" si="66"/>
        <v>0</v>
      </c>
      <c r="D1454" s="10">
        <v>0</v>
      </c>
      <c r="E1454" s="9">
        <f t="shared" si="67"/>
        <v>0</v>
      </c>
      <c r="F1454" s="9">
        <f t="shared" si="68"/>
        <v>0</v>
      </c>
    </row>
    <row r="1455" s="1" customFormat="1" spans="1:6">
      <c r="A1455" s="8" t="str">
        <f>"2020894913"</f>
        <v>2020894913</v>
      </c>
      <c r="B1455" s="9">
        <v>77</v>
      </c>
      <c r="C1455" s="9">
        <f t="shared" si="66"/>
        <v>23.1</v>
      </c>
      <c r="D1455" s="10">
        <v>52</v>
      </c>
      <c r="E1455" s="9">
        <f t="shared" si="67"/>
        <v>36.4</v>
      </c>
      <c r="F1455" s="9">
        <f t="shared" si="68"/>
        <v>59.5</v>
      </c>
    </row>
    <row r="1456" s="1" customFormat="1" spans="1:6">
      <c r="A1456" s="8" t="str">
        <f>"2020894914"</f>
        <v>2020894914</v>
      </c>
      <c r="B1456" s="9">
        <v>75</v>
      </c>
      <c r="C1456" s="9">
        <f t="shared" si="66"/>
        <v>22.5</v>
      </c>
      <c r="D1456" s="10">
        <v>33</v>
      </c>
      <c r="E1456" s="9">
        <f t="shared" si="67"/>
        <v>23.1</v>
      </c>
      <c r="F1456" s="9">
        <f t="shared" si="68"/>
        <v>45.6</v>
      </c>
    </row>
    <row r="1457" s="1" customFormat="1" spans="1:6">
      <c r="A1457" s="8" t="str">
        <f>"2020894915"</f>
        <v>2020894915</v>
      </c>
      <c r="B1457" s="9">
        <v>76</v>
      </c>
      <c r="C1457" s="9">
        <f t="shared" si="66"/>
        <v>22.8</v>
      </c>
      <c r="D1457" s="10">
        <v>43</v>
      </c>
      <c r="E1457" s="9">
        <f t="shared" si="67"/>
        <v>30.1</v>
      </c>
      <c r="F1457" s="9">
        <f t="shared" si="68"/>
        <v>52.9</v>
      </c>
    </row>
    <row r="1458" s="1" customFormat="1" spans="1:6">
      <c r="A1458" s="8" t="str">
        <f>"2020894916"</f>
        <v>2020894916</v>
      </c>
      <c r="B1458" s="9">
        <v>80</v>
      </c>
      <c r="C1458" s="9">
        <f t="shared" si="66"/>
        <v>24</v>
      </c>
      <c r="D1458" s="10">
        <v>53</v>
      </c>
      <c r="E1458" s="9">
        <f t="shared" si="67"/>
        <v>37.1</v>
      </c>
      <c r="F1458" s="9">
        <f t="shared" si="68"/>
        <v>61.1</v>
      </c>
    </row>
    <row r="1459" s="1" customFormat="1" spans="1:6">
      <c r="A1459" s="8" t="str">
        <f>"2020894917"</f>
        <v>2020894917</v>
      </c>
      <c r="B1459" s="9">
        <v>87</v>
      </c>
      <c r="C1459" s="9">
        <f t="shared" si="66"/>
        <v>26.1</v>
      </c>
      <c r="D1459" s="10">
        <v>45</v>
      </c>
      <c r="E1459" s="9">
        <f t="shared" si="67"/>
        <v>31.5</v>
      </c>
      <c r="F1459" s="9">
        <f t="shared" si="68"/>
        <v>57.6</v>
      </c>
    </row>
    <row r="1460" s="1" customFormat="1" spans="1:6">
      <c r="A1460" s="8" t="str">
        <f>"2020894918"</f>
        <v>2020894918</v>
      </c>
      <c r="B1460" s="9">
        <v>79</v>
      </c>
      <c r="C1460" s="9">
        <f t="shared" si="66"/>
        <v>23.7</v>
      </c>
      <c r="D1460" s="10">
        <v>41</v>
      </c>
      <c r="E1460" s="9">
        <f t="shared" si="67"/>
        <v>28.7</v>
      </c>
      <c r="F1460" s="9">
        <f t="shared" si="68"/>
        <v>52.4</v>
      </c>
    </row>
    <row r="1461" s="1" customFormat="1" spans="1:6">
      <c r="A1461" s="8" t="str">
        <f>"2020894919"</f>
        <v>2020894919</v>
      </c>
      <c r="B1461" s="9">
        <v>79</v>
      </c>
      <c r="C1461" s="9">
        <f t="shared" si="66"/>
        <v>23.7</v>
      </c>
      <c r="D1461" s="10">
        <v>46</v>
      </c>
      <c r="E1461" s="9">
        <f t="shared" si="67"/>
        <v>32.2</v>
      </c>
      <c r="F1461" s="9">
        <f t="shared" si="68"/>
        <v>55.9</v>
      </c>
    </row>
    <row r="1462" s="1" customFormat="1" spans="1:6">
      <c r="A1462" s="8" t="str">
        <f>"2020894920"</f>
        <v>2020894920</v>
      </c>
      <c r="B1462" s="9">
        <v>0</v>
      </c>
      <c r="C1462" s="9">
        <f t="shared" si="66"/>
        <v>0</v>
      </c>
      <c r="D1462" s="10">
        <v>0</v>
      </c>
      <c r="E1462" s="9">
        <f t="shared" si="67"/>
        <v>0</v>
      </c>
      <c r="F1462" s="9">
        <f t="shared" si="68"/>
        <v>0</v>
      </c>
    </row>
    <row r="1463" s="1" customFormat="1" spans="1:6">
      <c r="A1463" s="8" t="str">
        <f>"2020894921"</f>
        <v>2020894921</v>
      </c>
      <c r="B1463" s="9">
        <v>87</v>
      </c>
      <c r="C1463" s="9">
        <f t="shared" si="66"/>
        <v>26.1</v>
      </c>
      <c r="D1463" s="10">
        <v>41</v>
      </c>
      <c r="E1463" s="9">
        <f t="shared" si="67"/>
        <v>28.7</v>
      </c>
      <c r="F1463" s="9">
        <f t="shared" si="68"/>
        <v>54.8</v>
      </c>
    </row>
    <row r="1464" s="1" customFormat="1" spans="1:6">
      <c r="A1464" s="8" t="str">
        <f>"2020894922"</f>
        <v>2020894922</v>
      </c>
      <c r="B1464" s="9">
        <v>0</v>
      </c>
      <c r="C1464" s="9">
        <f t="shared" si="66"/>
        <v>0</v>
      </c>
      <c r="D1464" s="10">
        <v>0</v>
      </c>
      <c r="E1464" s="9">
        <f t="shared" si="67"/>
        <v>0</v>
      </c>
      <c r="F1464" s="9">
        <f t="shared" si="68"/>
        <v>0</v>
      </c>
    </row>
    <row r="1465" s="1" customFormat="1" spans="1:6">
      <c r="A1465" s="8" t="str">
        <f>"2020894923"</f>
        <v>2020894923</v>
      </c>
      <c r="B1465" s="9">
        <v>87</v>
      </c>
      <c r="C1465" s="9">
        <f t="shared" si="66"/>
        <v>26.1</v>
      </c>
      <c r="D1465" s="10">
        <v>59</v>
      </c>
      <c r="E1465" s="9">
        <f t="shared" si="67"/>
        <v>41.3</v>
      </c>
      <c r="F1465" s="9">
        <f t="shared" si="68"/>
        <v>67.4</v>
      </c>
    </row>
    <row r="1466" s="1" customFormat="1" spans="1:6">
      <c r="A1466" s="8" t="str">
        <f>"2020894924"</f>
        <v>2020894924</v>
      </c>
      <c r="B1466" s="9">
        <v>75</v>
      </c>
      <c r="C1466" s="9">
        <f t="shared" si="66"/>
        <v>22.5</v>
      </c>
      <c r="D1466" s="10">
        <v>39</v>
      </c>
      <c r="E1466" s="9">
        <f t="shared" si="67"/>
        <v>27.3</v>
      </c>
      <c r="F1466" s="9">
        <f t="shared" si="68"/>
        <v>49.8</v>
      </c>
    </row>
    <row r="1467" s="1" customFormat="1" spans="1:6">
      <c r="A1467" s="8" t="str">
        <f>"2020894925"</f>
        <v>2020894925</v>
      </c>
      <c r="B1467" s="9">
        <v>68</v>
      </c>
      <c r="C1467" s="9">
        <f t="shared" si="66"/>
        <v>20.4</v>
      </c>
      <c r="D1467" s="10">
        <v>49</v>
      </c>
      <c r="E1467" s="9">
        <f t="shared" si="67"/>
        <v>34.3</v>
      </c>
      <c r="F1467" s="9">
        <f t="shared" si="68"/>
        <v>54.7</v>
      </c>
    </row>
    <row r="1468" s="1" customFormat="1" spans="1:6">
      <c r="A1468" s="8" t="str">
        <f>"2020894926"</f>
        <v>2020894926</v>
      </c>
      <c r="B1468" s="9">
        <v>79</v>
      </c>
      <c r="C1468" s="9">
        <f t="shared" si="66"/>
        <v>23.7</v>
      </c>
      <c r="D1468" s="10">
        <v>63</v>
      </c>
      <c r="E1468" s="9">
        <f t="shared" si="67"/>
        <v>44.1</v>
      </c>
      <c r="F1468" s="9">
        <f t="shared" si="68"/>
        <v>67.8</v>
      </c>
    </row>
    <row r="1469" s="1" customFormat="1" spans="1:6">
      <c r="A1469" s="8" t="str">
        <f>"2020894927"</f>
        <v>2020894927</v>
      </c>
      <c r="B1469" s="9">
        <v>75</v>
      </c>
      <c r="C1469" s="9">
        <f t="shared" si="66"/>
        <v>22.5</v>
      </c>
      <c r="D1469" s="10">
        <v>69</v>
      </c>
      <c r="E1469" s="9">
        <f t="shared" si="67"/>
        <v>48.3</v>
      </c>
      <c r="F1469" s="9">
        <f t="shared" si="68"/>
        <v>70.8</v>
      </c>
    </row>
    <row r="1470" s="1" customFormat="1" spans="1:6">
      <c r="A1470" s="8" t="str">
        <f>"2020894928"</f>
        <v>2020894928</v>
      </c>
      <c r="B1470" s="9">
        <v>69</v>
      </c>
      <c r="C1470" s="9">
        <f t="shared" si="66"/>
        <v>20.7</v>
      </c>
      <c r="D1470" s="10">
        <v>22</v>
      </c>
      <c r="E1470" s="9">
        <f t="shared" si="67"/>
        <v>15.4</v>
      </c>
      <c r="F1470" s="9">
        <f t="shared" si="68"/>
        <v>36.1</v>
      </c>
    </row>
    <row r="1471" s="1" customFormat="1" spans="1:6">
      <c r="A1471" s="8" t="str">
        <f>"2020894929"</f>
        <v>2020894929</v>
      </c>
      <c r="B1471" s="9">
        <v>75</v>
      </c>
      <c r="C1471" s="9">
        <f t="shared" si="66"/>
        <v>22.5</v>
      </c>
      <c r="D1471" s="10">
        <v>38</v>
      </c>
      <c r="E1471" s="9">
        <f t="shared" si="67"/>
        <v>26.6</v>
      </c>
      <c r="F1471" s="9">
        <f t="shared" si="68"/>
        <v>49.1</v>
      </c>
    </row>
    <row r="1472" s="1" customFormat="1" spans="1:6">
      <c r="A1472" s="8" t="str">
        <f>"2020894930"</f>
        <v>2020894930</v>
      </c>
      <c r="B1472" s="9">
        <v>0</v>
      </c>
      <c r="C1472" s="9">
        <f t="shared" si="66"/>
        <v>0</v>
      </c>
      <c r="D1472" s="10">
        <v>0</v>
      </c>
      <c r="E1472" s="9">
        <f t="shared" si="67"/>
        <v>0</v>
      </c>
      <c r="F1472" s="9">
        <f t="shared" si="68"/>
        <v>0</v>
      </c>
    </row>
    <row r="1473" s="1" customFormat="1" spans="1:6">
      <c r="A1473" s="8" t="str">
        <f>"2020895001"</f>
        <v>2020895001</v>
      </c>
      <c r="B1473" s="9">
        <v>82</v>
      </c>
      <c r="C1473" s="9">
        <f t="shared" si="66"/>
        <v>24.6</v>
      </c>
      <c r="D1473" s="10">
        <v>46</v>
      </c>
      <c r="E1473" s="9">
        <f t="shared" si="67"/>
        <v>32.2</v>
      </c>
      <c r="F1473" s="9">
        <f t="shared" si="68"/>
        <v>56.8</v>
      </c>
    </row>
    <row r="1474" s="1" customFormat="1" spans="1:6">
      <c r="A1474" s="8" t="str">
        <f>"2020895002"</f>
        <v>2020895002</v>
      </c>
      <c r="B1474" s="9">
        <v>79</v>
      </c>
      <c r="C1474" s="9">
        <f t="shared" si="66"/>
        <v>23.7</v>
      </c>
      <c r="D1474" s="10">
        <v>33</v>
      </c>
      <c r="E1474" s="9">
        <f t="shared" si="67"/>
        <v>23.1</v>
      </c>
      <c r="F1474" s="9">
        <f t="shared" si="68"/>
        <v>46.8</v>
      </c>
    </row>
    <row r="1475" s="1" customFormat="1" spans="1:6">
      <c r="A1475" s="8" t="str">
        <f>"2020895003"</f>
        <v>2020895003</v>
      </c>
      <c r="B1475" s="9">
        <v>77</v>
      </c>
      <c r="C1475" s="9">
        <f t="shared" ref="C1475:C1538" si="69">B1475*0.3</f>
        <v>23.1</v>
      </c>
      <c r="D1475" s="10">
        <v>35</v>
      </c>
      <c r="E1475" s="9">
        <f t="shared" ref="E1475:E1538" si="70">D1475*0.7</f>
        <v>24.5</v>
      </c>
      <c r="F1475" s="9">
        <f t="shared" ref="F1475:F1538" si="71">C1475+E1475</f>
        <v>47.6</v>
      </c>
    </row>
    <row r="1476" s="1" customFormat="1" spans="1:6">
      <c r="A1476" s="8" t="str">
        <f>"2020895004"</f>
        <v>2020895004</v>
      </c>
      <c r="B1476" s="9">
        <v>68</v>
      </c>
      <c r="C1476" s="9">
        <f t="shared" si="69"/>
        <v>20.4</v>
      </c>
      <c r="D1476" s="10">
        <v>56</v>
      </c>
      <c r="E1476" s="9">
        <f t="shared" si="70"/>
        <v>39.2</v>
      </c>
      <c r="F1476" s="9">
        <f t="shared" si="71"/>
        <v>59.6</v>
      </c>
    </row>
    <row r="1477" s="1" customFormat="1" spans="1:6">
      <c r="A1477" s="8" t="str">
        <f>"2020895005"</f>
        <v>2020895005</v>
      </c>
      <c r="B1477" s="9">
        <v>0</v>
      </c>
      <c r="C1477" s="9">
        <f t="shared" si="69"/>
        <v>0</v>
      </c>
      <c r="D1477" s="10">
        <v>0</v>
      </c>
      <c r="E1477" s="9">
        <f t="shared" si="70"/>
        <v>0</v>
      </c>
      <c r="F1477" s="9">
        <f t="shared" si="71"/>
        <v>0</v>
      </c>
    </row>
    <row r="1478" s="1" customFormat="1" spans="1:6">
      <c r="A1478" s="8" t="str">
        <f>"2020895006"</f>
        <v>2020895006</v>
      </c>
      <c r="B1478" s="9">
        <v>75</v>
      </c>
      <c r="C1478" s="9">
        <f t="shared" si="69"/>
        <v>22.5</v>
      </c>
      <c r="D1478" s="10">
        <v>40</v>
      </c>
      <c r="E1478" s="9">
        <f t="shared" si="70"/>
        <v>28</v>
      </c>
      <c r="F1478" s="9">
        <f t="shared" si="71"/>
        <v>50.5</v>
      </c>
    </row>
    <row r="1479" s="1" customFormat="1" spans="1:6">
      <c r="A1479" s="8" t="str">
        <f>"2020895007"</f>
        <v>2020895007</v>
      </c>
      <c r="B1479" s="9">
        <v>0</v>
      </c>
      <c r="C1479" s="9">
        <f t="shared" si="69"/>
        <v>0</v>
      </c>
      <c r="D1479" s="10">
        <v>0</v>
      </c>
      <c r="E1479" s="9">
        <f t="shared" si="70"/>
        <v>0</v>
      </c>
      <c r="F1479" s="9">
        <f t="shared" si="71"/>
        <v>0</v>
      </c>
    </row>
    <row r="1480" s="1" customFormat="1" spans="1:6">
      <c r="A1480" s="8" t="str">
        <f>"2020895008"</f>
        <v>2020895008</v>
      </c>
      <c r="B1480" s="9">
        <v>76</v>
      </c>
      <c r="C1480" s="9">
        <f t="shared" si="69"/>
        <v>22.8</v>
      </c>
      <c r="D1480" s="10">
        <v>51</v>
      </c>
      <c r="E1480" s="9">
        <f t="shared" si="70"/>
        <v>35.7</v>
      </c>
      <c r="F1480" s="9">
        <f t="shared" si="71"/>
        <v>58.5</v>
      </c>
    </row>
    <row r="1481" s="1" customFormat="1" spans="1:6">
      <c r="A1481" s="8" t="str">
        <f>"2020895009"</f>
        <v>2020895009</v>
      </c>
      <c r="B1481" s="9">
        <v>75</v>
      </c>
      <c r="C1481" s="9">
        <f t="shared" si="69"/>
        <v>22.5</v>
      </c>
      <c r="D1481" s="10">
        <v>51</v>
      </c>
      <c r="E1481" s="9">
        <f t="shared" si="70"/>
        <v>35.7</v>
      </c>
      <c r="F1481" s="9">
        <f t="shared" si="71"/>
        <v>58.2</v>
      </c>
    </row>
    <row r="1482" s="1" customFormat="1" spans="1:6">
      <c r="A1482" s="8" t="str">
        <f>"2020895010"</f>
        <v>2020895010</v>
      </c>
      <c r="B1482" s="9">
        <v>70</v>
      </c>
      <c r="C1482" s="9">
        <f t="shared" si="69"/>
        <v>21</v>
      </c>
      <c r="D1482" s="10">
        <v>48</v>
      </c>
      <c r="E1482" s="9">
        <f t="shared" si="70"/>
        <v>33.6</v>
      </c>
      <c r="F1482" s="9">
        <f t="shared" si="71"/>
        <v>54.6</v>
      </c>
    </row>
    <row r="1483" s="1" customFormat="1" spans="1:6">
      <c r="A1483" s="8" t="str">
        <f>"2020895011"</f>
        <v>2020895011</v>
      </c>
      <c r="B1483" s="9">
        <v>78</v>
      </c>
      <c r="C1483" s="9">
        <f t="shared" si="69"/>
        <v>23.4</v>
      </c>
      <c r="D1483" s="10">
        <v>54</v>
      </c>
      <c r="E1483" s="9">
        <f t="shared" si="70"/>
        <v>37.8</v>
      </c>
      <c r="F1483" s="9">
        <f t="shared" si="71"/>
        <v>61.2</v>
      </c>
    </row>
    <row r="1484" s="1" customFormat="1" spans="1:6">
      <c r="A1484" s="8" t="str">
        <f>"2020895012"</f>
        <v>2020895012</v>
      </c>
      <c r="B1484" s="9">
        <v>0</v>
      </c>
      <c r="C1484" s="9">
        <f t="shared" si="69"/>
        <v>0</v>
      </c>
      <c r="D1484" s="10">
        <v>0</v>
      </c>
      <c r="E1484" s="9">
        <f t="shared" si="70"/>
        <v>0</v>
      </c>
      <c r="F1484" s="9">
        <f t="shared" si="71"/>
        <v>0</v>
      </c>
    </row>
    <row r="1485" s="1" customFormat="1" spans="1:6">
      <c r="A1485" s="8" t="str">
        <f>"2020895013"</f>
        <v>2020895013</v>
      </c>
      <c r="B1485" s="9">
        <v>73</v>
      </c>
      <c r="C1485" s="9">
        <f t="shared" si="69"/>
        <v>21.9</v>
      </c>
      <c r="D1485" s="10">
        <v>26</v>
      </c>
      <c r="E1485" s="9">
        <f t="shared" si="70"/>
        <v>18.2</v>
      </c>
      <c r="F1485" s="9">
        <f t="shared" si="71"/>
        <v>40.1</v>
      </c>
    </row>
    <row r="1486" s="1" customFormat="1" spans="1:6">
      <c r="A1486" s="8" t="str">
        <f>"2020895014"</f>
        <v>2020895014</v>
      </c>
      <c r="B1486" s="9">
        <v>74</v>
      </c>
      <c r="C1486" s="9">
        <f t="shared" si="69"/>
        <v>22.2</v>
      </c>
      <c r="D1486" s="10">
        <v>49</v>
      </c>
      <c r="E1486" s="9">
        <f t="shared" si="70"/>
        <v>34.3</v>
      </c>
      <c r="F1486" s="9">
        <f t="shared" si="71"/>
        <v>56.5</v>
      </c>
    </row>
    <row r="1487" s="1" customFormat="1" spans="1:6">
      <c r="A1487" s="8" t="str">
        <f>"2020895015"</f>
        <v>2020895015</v>
      </c>
      <c r="B1487" s="9">
        <v>72</v>
      </c>
      <c r="C1487" s="9">
        <f t="shared" si="69"/>
        <v>21.6</v>
      </c>
      <c r="D1487" s="10">
        <v>57</v>
      </c>
      <c r="E1487" s="9">
        <f t="shared" si="70"/>
        <v>39.9</v>
      </c>
      <c r="F1487" s="9">
        <f t="shared" si="71"/>
        <v>61.5</v>
      </c>
    </row>
    <row r="1488" s="1" customFormat="1" spans="1:6">
      <c r="A1488" s="8" t="str">
        <f>"2020895016"</f>
        <v>2020895016</v>
      </c>
      <c r="B1488" s="9">
        <v>76</v>
      </c>
      <c r="C1488" s="9">
        <f t="shared" si="69"/>
        <v>22.8</v>
      </c>
      <c r="D1488" s="10">
        <v>59</v>
      </c>
      <c r="E1488" s="9">
        <f t="shared" si="70"/>
        <v>41.3</v>
      </c>
      <c r="F1488" s="9">
        <f t="shared" si="71"/>
        <v>64.1</v>
      </c>
    </row>
    <row r="1489" s="1" customFormat="1" spans="1:6">
      <c r="A1489" s="8" t="str">
        <f>"2020895017"</f>
        <v>2020895017</v>
      </c>
      <c r="B1489" s="9">
        <v>0</v>
      </c>
      <c r="C1489" s="9">
        <f t="shared" si="69"/>
        <v>0</v>
      </c>
      <c r="D1489" s="10">
        <v>0</v>
      </c>
      <c r="E1489" s="9">
        <f t="shared" si="70"/>
        <v>0</v>
      </c>
      <c r="F1489" s="9">
        <f t="shared" si="71"/>
        <v>0</v>
      </c>
    </row>
    <row r="1490" s="1" customFormat="1" spans="1:6">
      <c r="A1490" s="8" t="str">
        <f>"2020895018"</f>
        <v>2020895018</v>
      </c>
      <c r="B1490" s="9">
        <v>82</v>
      </c>
      <c r="C1490" s="9">
        <f t="shared" si="69"/>
        <v>24.6</v>
      </c>
      <c r="D1490" s="10">
        <v>43</v>
      </c>
      <c r="E1490" s="9">
        <f t="shared" si="70"/>
        <v>30.1</v>
      </c>
      <c r="F1490" s="9">
        <f t="shared" si="71"/>
        <v>54.7</v>
      </c>
    </row>
    <row r="1491" s="1" customFormat="1" spans="1:6">
      <c r="A1491" s="8" t="str">
        <f>"2020895019"</f>
        <v>2020895019</v>
      </c>
      <c r="B1491" s="9">
        <v>74</v>
      </c>
      <c r="C1491" s="9">
        <f t="shared" si="69"/>
        <v>22.2</v>
      </c>
      <c r="D1491" s="10">
        <v>62</v>
      </c>
      <c r="E1491" s="9">
        <f t="shared" si="70"/>
        <v>43.4</v>
      </c>
      <c r="F1491" s="9">
        <f t="shared" si="71"/>
        <v>65.6</v>
      </c>
    </row>
    <row r="1492" s="1" customFormat="1" spans="1:6">
      <c r="A1492" s="8" t="str">
        <f>"2020895020"</f>
        <v>2020895020</v>
      </c>
      <c r="B1492" s="9">
        <v>87</v>
      </c>
      <c r="C1492" s="9">
        <f t="shared" si="69"/>
        <v>26.1</v>
      </c>
      <c r="D1492" s="10">
        <v>32</v>
      </c>
      <c r="E1492" s="9">
        <f t="shared" si="70"/>
        <v>22.4</v>
      </c>
      <c r="F1492" s="9">
        <f t="shared" si="71"/>
        <v>48.5</v>
      </c>
    </row>
    <row r="1493" s="1" customFormat="1" spans="1:6">
      <c r="A1493" s="8" t="str">
        <f>"2020895021"</f>
        <v>2020895021</v>
      </c>
      <c r="B1493" s="9">
        <v>85</v>
      </c>
      <c r="C1493" s="9">
        <f t="shared" si="69"/>
        <v>25.5</v>
      </c>
      <c r="D1493" s="10">
        <v>67</v>
      </c>
      <c r="E1493" s="9">
        <f t="shared" si="70"/>
        <v>46.9</v>
      </c>
      <c r="F1493" s="9">
        <f t="shared" si="71"/>
        <v>72.4</v>
      </c>
    </row>
    <row r="1494" s="1" customFormat="1" spans="1:6">
      <c r="A1494" s="8" t="str">
        <f>"2020895022"</f>
        <v>2020895022</v>
      </c>
      <c r="B1494" s="9">
        <v>0</v>
      </c>
      <c r="C1494" s="9">
        <f t="shared" si="69"/>
        <v>0</v>
      </c>
      <c r="D1494" s="10">
        <v>0</v>
      </c>
      <c r="E1494" s="9">
        <f t="shared" si="70"/>
        <v>0</v>
      </c>
      <c r="F1494" s="9">
        <f t="shared" si="71"/>
        <v>0</v>
      </c>
    </row>
    <row r="1495" s="1" customFormat="1" spans="1:6">
      <c r="A1495" s="8" t="str">
        <f>"2020895023"</f>
        <v>2020895023</v>
      </c>
      <c r="B1495" s="9">
        <v>0</v>
      </c>
      <c r="C1495" s="9">
        <f t="shared" si="69"/>
        <v>0</v>
      </c>
      <c r="D1495" s="10">
        <v>0</v>
      </c>
      <c r="E1495" s="9">
        <f t="shared" si="70"/>
        <v>0</v>
      </c>
      <c r="F1495" s="9">
        <f t="shared" si="71"/>
        <v>0</v>
      </c>
    </row>
    <row r="1496" s="1" customFormat="1" spans="1:6">
      <c r="A1496" s="8" t="str">
        <f>"2020895024"</f>
        <v>2020895024</v>
      </c>
      <c r="B1496" s="9">
        <v>0</v>
      </c>
      <c r="C1496" s="9">
        <f t="shared" si="69"/>
        <v>0</v>
      </c>
      <c r="D1496" s="10">
        <v>0</v>
      </c>
      <c r="E1496" s="9">
        <f t="shared" si="70"/>
        <v>0</v>
      </c>
      <c r="F1496" s="9">
        <f t="shared" si="71"/>
        <v>0</v>
      </c>
    </row>
    <row r="1497" s="1" customFormat="1" spans="1:6">
      <c r="A1497" s="8" t="str">
        <f>"2020895025"</f>
        <v>2020895025</v>
      </c>
      <c r="B1497" s="9">
        <v>78</v>
      </c>
      <c r="C1497" s="9">
        <f t="shared" si="69"/>
        <v>23.4</v>
      </c>
      <c r="D1497" s="10">
        <v>48</v>
      </c>
      <c r="E1497" s="9">
        <f t="shared" si="70"/>
        <v>33.6</v>
      </c>
      <c r="F1497" s="9">
        <f t="shared" si="71"/>
        <v>57</v>
      </c>
    </row>
    <row r="1498" s="1" customFormat="1" spans="1:6">
      <c r="A1498" s="8" t="str">
        <f>"2020895026"</f>
        <v>2020895026</v>
      </c>
      <c r="B1498" s="9">
        <v>0</v>
      </c>
      <c r="C1498" s="9">
        <f t="shared" si="69"/>
        <v>0</v>
      </c>
      <c r="D1498" s="10">
        <v>0</v>
      </c>
      <c r="E1498" s="9">
        <f t="shared" si="70"/>
        <v>0</v>
      </c>
      <c r="F1498" s="9">
        <f t="shared" si="71"/>
        <v>0</v>
      </c>
    </row>
    <row r="1499" s="1" customFormat="1" spans="1:6">
      <c r="A1499" s="8" t="str">
        <f>"2020895027"</f>
        <v>2020895027</v>
      </c>
      <c r="B1499" s="9">
        <v>0</v>
      </c>
      <c r="C1499" s="9">
        <f t="shared" si="69"/>
        <v>0</v>
      </c>
      <c r="D1499" s="10">
        <v>0</v>
      </c>
      <c r="E1499" s="9">
        <f t="shared" si="70"/>
        <v>0</v>
      </c>
      <c r="F1499" s="9">
        <f t="shared" si="71"/>
        <v>0</v>
      </c>
    </row>
    <row r="1500" s="1" customFormat="1" spans="1:6">
      <c r="A1500" s="8" t="str">
        <f>"2020895028"</f>
        <v>2020895028</v>
      </c>
      <c r="B1500" s="9">
        <v>81</v>
      </c>
      <c r="C1500" s="9">
        <f t="shared" si="69"/>
        <v>24.3</v>
      </c>
      <c r="D1500" s="10">
        <v>56</v>
      </c>
      <c r="E1500" s="9">
        <f t="shared" si="70"/>
        <v>39.2</v>
      </c>
      <c r="F1500" s="9">
        <f t="shared" si="71"/>
        <v>63.5</v>
      </c>
    </row>
    <row r="1501" s="1" customFormat="1" spans="1:6">
      <c r="A1501" s="8" t="str">
        <f>"2020895029"</f>
        <v>2020895029</v>
      </c>
      <c r="B1501" s="9">
        <v>79</v>
      </c>
      <c r="C1501" s="9">
        <f t="shared" si="69"/>
        <v>23.7</v>
      </c>
      <c r="D1501" s="10">
        <v>62</v>
      </c>
      <c r="E1501" s="9">
        <f t="shared" si="70"/>
        <v>43.4</v>
      </c>
      <c r="F1501" s="9">
        <f t="shared" si="71"/>
        <v>67.1</v>
      </c>
    </row>
    <row r="1502" s="1" customFormat="1" spans="1:6">
      <c r="A1502" s="8" t="str">
        <f>"2020895030"</f>
        <v>2020895030</v>
      </c>
      <c r="B1502" s="9">
        <v>77</v>
      </c>
      <c r="C1502" s="9">
        <f t="shared" si="69"/>
        <v>23.1</v>
      </c>
      <c r="D1502" s="10">
        <v>55</v>
      </c>
      <c r="E1502" s="9">
        <f t="shared" si="70"/>
        <v>38.5</v>
      </c>
      <c r="F1502" s="9">
        <f t="shared" si="71"/>
        <v>61.6</v>
      </c>
    </row>
    <row r="1503" s="1" customFormat="1" spans="1:6">
      <c r="A1503" s="8" t="str">
        <f>"2020895101"</f>
        <v>2020895101</v>
      </c>
      <c r="B1503" s="9">
        <v>68</v>
      </c>
      <c r="C1503" s="9">
        <f t="shared" si="69"/>
        <v>20.4</v>
      </c>
      <c r="D1503" s="10">
        <v>22</v>
      </c>
      <c r="E1503" s="9">
        <f t="shared" si="70"/>
        <v>15.4</v>
      </c>
      <c r="F1503" s="9">
        <f t="shared" si="71"/>
        <v>35.8</v>
      </c>
    </row>
    <row r="1504" s="1" customFormat="1" spans="1:6">
      <c r="A1504" s="8" t="str">
        <f>"2020895102"</f>
        <v>2020895102</v>
      </c>
      <c r="B1504" s="9">
        <v>66</v>
      </c>
      <c r="C1504" s="9">
        <f t="shared" si="69"/>
        <v>19.8</v>
      </c>
      <c r="D1504" s="10">
        <v>34</v>
      </c>
      <c r="E1504" s="9">
        <f t="shared" si="70"/>
        <v>23.8</v>
      </c>
      <c r="F1504" s="9">
        <f t="shared" si="71"/>
        <v>43.6</v>
      </c>
    </row>
    <row r="1505" s="1" customFormat="1" spans="1:6">
      <c r="A1505" s="8" t="str">
        <f>"2020895103"</f>
        <v>2020895103</v>
      </c>
      <c r="B1505" s="9">
        <v>60</v>
      </c>
      <c r="C1505" s="9">
        <f t="shared" si="69"/>
        <v>18</v>
      </c>
      <c r="D1505" s="10">
        <v>56</v>
      </c>
      <c r="E1505" s="9">
        <f t="shared" si="70"/>
        <v>39.2</v>
      </c>
      <c r="F1505" s="9">
        <f t="shared" si="71"/>
        <v>57.2</v>
      </c>
    </row>
    <row r="1506" s="1" customFormat="1" spans="1:6">
      <c r="A1506" s="8" t="str">
        <f>"2020895104"</f>
        <v>2020895104</v>
      </c>
      <c r="B1506" s="9">
        <v>62</v>
      </c>
      <c r="C1506" s="9">
        <f t="shared" si="69"/>
        <v>18.6</v>
      </c>
      <c r="D1506" s="10">
        <v>37</v>
      </c>
      <c r="E1506" s="9">
        <f t="shared" si="70"/>
        <v>25.9</v>
      </c>
      <c r="F1506" s="9">
        <f t="shared" si="71"/>
        <v>44.5</v>
      </c>
    </row>
    <row r="1507" s="1" customFormat="1" spans="1:6">
      <c r="A1507" s="8" t="str">
        <f>"2020895105"</f>
        <v>2020895105</v>
      </c>
      <c r="B1507" s="9">
        <v>59</v>
      </c>
      <c r="C1507" s="9">
        <f t="shared" si="69"/>
        <v>17.7</v>
      </c>
      <c r="D1507" s="10">
        <v>23</v>
      </c>
      <c r="E1507" s="9">
        <f t="shared" si="70"/>
        <v>16.1</v>
      </c>
      <c r="F1507" s="9">
        <f t="shared" si="71"/>
        <v>33.8</v>
      </c>
    </row>
    <row r="1508" s="1" customFormat="1" spans="1:6">
      <c r="A1508" s="8" t="str">
        <f>"2020895106"</f>
        <v>2020895106</v>
      </c>
      <c r="B1508" s="9">
        <v>68</v>
      </c>
      <c r="C1508" s="9">
        <f t="shared" si="69"/>
        <v>20.4</v>
      </c>
      <c r="D1508" s="10">
        <v>23</v>
      </c>
      <c r="E1508" s="9">
        <f t="shared" si="70"/>
        <v>16.1</v>
      </c>
      <c r="F1508" s="9">
        <f t="shared" si="71"/>
        <v>36.5</v>
      </c>
    </row>
    <row r="1509" s="1" customFormat="1" spans="1:6">
      <c r="A1509" s="8" t="str">
        <f>"2020895107"</f>
        <v>2020895107</v>
      </c>
      <c r="B1509" s="9">
        <v>61</v>
      </c>
      <c r="C1509" s="9">
        <f t="shared" si="69"/>
        <v>18.3</v>
      </c>
      <c r="D1509" s="10">
        <v>23</v>
      </c>
      <c r="E1509" s="9">
        <f t="shared" si="70"/>
        <v>16.1</v>
      </c>
      <c r="F1509" s="9">
        <f t="shared" si="71"/>
        <v>34.4</v>
      </c>
    </row>
    <row r="1510" s="1" customFormat="1" spans="1:6">
      <c r="A1510" s="8" t="str">
        <f>"2020895108"</f>
        <v>2020895108</v>
      </c>
      <c r="B1510" s="9">
        <v>0</v>
      </c>
      <c r="C1510" s="9">
        <f t="shared" si="69"/>
        <v>0</v>
      </c>
      <c r="D1510" s="10">
        <v>0</v>
      </c>
      <c r="E1510" s="9">
        <f t="shared" si="70"/>
        <v>0</v>
      </c>
      <c r="F1510" s="9">
        <f t="shared" si="71"/>
        <v>0</v>
      </c>
    </row>
    <row r="1511" s="1" customFormat="1" spans="1:6">
      <c r="A1511" s="8" t="str">
        <f>"2020895109"</f>
        <v>2020895109</v>
      </c>
      <c r="B1511" s="9">
        <v>0</v>
      </c>
      <c r="C1511" s="9">
        <f t="shared" si="69"/>
        <v>0</v>
      </c>
      <c r="D1511" s="10">
        <v>0</v>
      </c>
      <c r="E1511" s="9">
        <f t="shared" si="70"/>
        <v>0</v>
      </c>
      <c r="F1511" s="9">
        <f t="shared" si="71"/>
        <v>0</v>
      </c>
    </row>
    <row r="1512" s="1" customFormat="1" spans="1:6">
      <c r="A1512" s="8" t="str">
        <f>"2020895110"</f>
        <v>2020895110</v>
      </c>
      <c r="B1512" s="9">
        <v>49</v>
      </c>
      <c r="C1512" s="9">
        <f t="shared" si="69"/>
        <v>14.7</v>
      </c>
      <c r="D1512" s="10">
        <v>44</v>
      </c>
      <c r="E1512" s="9">
        <f t="shared" si="70"/>
        <v>30.8</v>
      </c>
      <c r="F1512" s="9">
        <f t="shared" si="71"/>
        <v>45.5</v>
      </c>
    </row>
    <row r="1513" s="1" customFormat="1" spans="1:6">
      <c r="A1513" s="8" t="str">
        <f>"2020895111"</f>
        <v>2020895111</v>
      </c>
      <c r="B1513" s="9">
        <v>69</v>
      </c>
      <c r="C1513" s="9">
        <f t="shared" si="69"/>
        <v>20.7</v>
      </c>
      <c r="D1513" s="10">
        <v>28</v>
      </c>
      <c r="E1513" s="9">
        <f t="shared" si="70"/>
        <v>19.6</v>
      </c>
      <c r="F1513" s="9">
        <f t="shared" si="71"/>
        <v>40.3</v>
      </c>
    </row>
    <row r="1514" s="1" customFormat="1" spans="1:6">
      <c r="A1514" s="8" t="str">
        <f>"2020895112"</f>
        <v>2020895112</v>
      </c>
      <c r="B1514" s="9">
        <v>62</v>
      </c>
      <c r="C1514" s="9">
        <f t="shared" si="69"/>
        <v>18.6</v>
      </c>
      <c r="D1514" s="10">
        <v>37</v>
      </c>
      <c r="E1514" s="9">
        <f t="shared" si="70"/>
        <v>25.9</v>
      </c>
      <c r="F1514" s="9">
        <f t="shared" si="71"/>
        <v>44.5</v>
      </c>
    </row>
    <row r="1515" s="1" customFormat="1" spans="1:6">
      <c r="A1515" s="8" t="str">
        <f>"2020895113"</f>
        <v>2020895113</v>
      </c>
      <c r="B1515" s="9">
        <v>62</v>
      </c>
      <c r="C1515" s="9">
        <f t="shared" si="69"/>
        <v>18.6</v>
      </c>
      <c r="D1515" s="10">
        <v>20</v>
      </c>
      <c r="E1515" s="9">
        <f t="shared" si="70"/>
        <v>14</v>
      </c>
      <c r="F1515" s="9">
        <f t="shared" si="71"/>
        <v>32.6</v>
      </c>
    </row>
    <row r="1516" s="1" customFormat="1" spans="1:6">
      <c r="A1516" s="8" t="str">
        <f>"2020895114"</f>
        <v>2020895114</v>
      </c>
      <c r="B1516" s="9">
        <v>0</v>
      </c>
      <c r="C1516" s="9">
        <f t="shared" si="69"/>
        <v>0</v>
      </c>
      <c r="D1516" s="10">
        <v>0</v>
      </c>
      <c r="E1516" s="9">
        <f t="shared" si="70"/>
        <v>0</v>
      </c>
      <c r="F1516" s="9">
        <f t="shared" si="71"/>
        <v>0</v>
      </c>
    </row>
    <row r="1517" s="1" customFormat="1" spans="1:6">
      <c r="A1517" s="8" t="str">
        <f>"2020895115"</f>
        <v>2020895115</v>
      </c>
      <c r="B1517" s="9">
        <v>71</v>
      </c>
      <c r="C1517" s="9">
        <f t="shared" si="69"/>
        <v>21.3</v>
      </c>
      <c r="D1517" s="10">
        <v>38</v>
      </c>
      <c r="E1517" s="9">
        <f t="shared" si="70"/>
        <v>26.6</v>
      </c>
      <c r="F1517" s="9">
        <f t="shared" si="71"/>
        <v>47.9</v>
      </c>
    </row>
    <row r="1518" s="1" customFormat="1" spans="1:6">
      <c r="A1518" s="8" t="str">
        <f>"2020895116"</f>
        <v>2020895116</v>
      </c>
      <c r="B1518" s="9">
        <v>73</v>
      </c>
      <c r="C1518" s="9">
        <f t="shared" si="69"/>
        <v>21.9</v>
      </c>
      <c r="D1518" s="10">
        <v>36</v>
      </c>
      <c r="E1518" s="9">
        <f t="shared" si="70"/>
        <v>25.2</v>
      </c>
      <c r="F1518" s="9">
        <f t="shared" si="71"/>
        <v>47.1</v>
      </c>
    </row>
    <row r="1519" s="1" customFormat="1" spans="1:6">
      <c r="A1519" s="8" t="str">
        <f>"2020895117"</f>
        <v>2020895117</v>
      </c>
      <c r="B1519" s="9">
        <v>74</v>
      </c>
      <c r="C1519" s="9">
        <f t="shared" si="69"/>
        <v>22.2</v>
      </c>
      <c r="D1519" s="10">
        <v>33</v>
      </c>
      <c r="E1519" s="9">
        <f t="shared" si="70"/>
        <v>23.1</v>
      </c>
      <c r="F1519" s="9">
        <f t="shared" si="71"/>
        <v>45.3</v>
      </c>
    </row>
    <row r="1520" s="1" customFormat="1" spans="1:6">
      <c r="A1520" s="8" t="str">
        <f>"2020895118"</f>
        <v>2020895118</v>
      </c>
      <c r="B1520" s="9">
        <v>64</v>
      </c>
      <c r="C1520" s="9">
        <f t="shared" si="69"/>
        <v>19.2</v>
      </c>
      <c r="D1520" s="10">
        <v>26</v>
      </c>
      <c r="E1520" s="9">
        <f t="shared" si="70"/>
        <v>18.2</v>
      </c>
      <c r="F1520" s="9">
        <f t="shared" si="71"/>
        <v>37.4</v>
      </c>
    </row>
    <row r="1521" s="1" customFormat="1" spans="1:6">
      <c r="A1521" s="8" t="str">
        <f>"2020895119"</f>
        <v>2020895119</v>
      </c>
      <c r="B1521" s="9">
        <v>69</v>
      </c>
      <c r="C1521" s="9">
        <f t="shared" si="69"/>
        <v>20.7</v>
      </c>
      <c r="D1521" s="10">
        <v>33</v>
      </c>
      <c r="E1521" s="9">
        <f t="shared" si="70"/>
        <v>23.1</v>
      </c>
      <c r="F1521" s="9">
        <f t="shared" si="71"/>
        <v>43.8</v>
      </c>
    </row>
    <row r="1522" s="1" customFormat="1" spans="1:6">
      <c r="A1522" s="8" t="str">
        <f>"2020895120"</f>
        <v>2020895120</v>
      </c>
      <c r="B1522" s="9">
        <v>74</v>
      </c>
      <c r="C1522" s="9">
        <f t="shared" si="69"/>
        <v>22.2</v>
      </c>
      <c r="D1522" s="10">
        <v>56</v>
      </c>
      <c r="E1522" s="9">
        <f t="shared" si="70"/>
        <v>39.2</v>
      </c>
      <c r="F1522" s="9">
        <f t="shared" si="71"/>
        <v>61.4</v>
      </c>
    </row>
    <row r="1523" s="1" customFormat="1" spans="1:6">
      <c r="A1523" s="8" t="str">
        <f>"2020895121"</f>
        <v>2020895121</v>
      </c>
      <c r="B1523" s="9">
        <v>68</v>
      </c>
      <c r="C1523" s="9">
        <f t="shared" si="69"/>
        <v>20.4</v>
      </c>
      <c r="D1523" s="10">
        <v>36</v>
      </c>
      <c r="E1523" s="9">
        <f t="shared" si="70"/>
        <v>25.2</v>
      </c>
      <c r="F1523" s="9">
        <f t="shared" si="71"/>
        <v>45.6</v>
      </c>
    </row>
    <row r="1524" s="1" customFormat="1" spans="1:6">
      <c r="A1524" s="8" t="str">
        <f>"2020895122"</f>
        <v>2020895122</v>
      </c>
      <c r="B1524" s="9">
        <v>68</v>
      </c>
      <c r="C1524" s="9">
        <f t="shared" si="69"/>
        <v>20.4</v>
      </c>
      <c r="D1524" s="10">
        <v>39</v>
      </c>
      <c r="E1524" s="9">
        <f t="shared" si="70"/>
        <v>27.3</v>
      </c>
      <c r="F1524" s="9">
        <f t="shared" si="71"/>
        <v>47.7</v>
      </c>
    </row>
    <row r="1525" s="1" customFormat="1" spans="1:6">
      <c r="A1525" s="8" t="str">
        <f>"2020895123"</f>
        <v>2020895123</v>
      </c>
      <c r="B1525" s="9">
        <v>63</v>
      </c>
      <c r="C1525" s="9">
        <f t="shared" si="69"/>
        <v>18.9</v>
      </c>
      <c r="D1525" s="10">
        <v>33</v>
      </c>
      <c r="E1525" s="9">
        <f t="shared" si="70"/>
        <v>23.1</v>
      </c>
      <c r="F1525" s="9">
        <f t="shared" si="71"/>
        <v>42</v>
      </c>
    </row>
    <row r="1526" s="1" customFormat="1" spans="1:6">
      <c r="A1526" s="8" t="str">
        <f>"2020895124"</f>
        <v>2020895124</v>
      </c>
      <c r="B1526" s="9">
        <v>77</v>
      </c>
      <c r="C1526" s="9">
        <f t="shared" si="69"/>
        <v>23.1</v>
      </c>
      <c r="D1526" s="10">
        <v>51</v>
      </c>
      <c r="E1526" s="9">
        <f t="shared" si="70"/>
        <v>35.7</v>
      </c>
      <c r="F1526" s="9">
        <f t="shared" si="71"/>
        <v>58.8</v>
      </c>
    </row>
    <row r="1527" s="1" customFormat="1" spans="1:6">
      <c r="A1527" s="8" t="str">
        <f>"2020895125"</f>
        <v>2020895125</v>
      </c>
      <c r="B1527" s="9">
        <v>67</v>
      </c>
      <c r="C1527" s="9">
        <f t="shared" si="69"/>
        <v>20.1</v>
      </c>
      <c r="D1527" s="10">
        <v>27</v>
      </c>
      <c r="E1527" s="9">
        <f t="shared" si="70"/>
        <v>18.9</v>
      </c>
      <c r="F1527" s="9">
        <f t="shared" si="71"/>
        <v>39</v>
      </c>
    </row>
    <row r="1528" s="1" customFormat="1" spans="1:6">
      <c r="A1528" s="8" t="str">
        <f>"2020895126"</f>
        <v>2020895126</v>
      </c>
      <c r="B1528" s="9">
        <v>47</v>
      </c>
      <c r="C1528" s="9">
        <f t="shared" si="69"/>
        <v>14.1</v>
      </c>
      <c r="D1528" s="10">
        <v>26</v>
      </c>
      <c r="E1528" s="9">
        <f t="shared" si="70"/>
        <v>18.2</v>
      </c>
      <c r="F1528" s="9">
        <f t="shared" si="71"/>
        <v>32.3</v>
      </c>
    </row>
    <row r="1529" s="1" customFormat="1" spans="1:6">
      <c r="A1529" s="8" t="str">
        <f>"2020895127"</f>
        <v>2020895127</v>
      </c>
      <c r="B1529" s="9">
        <v>0</v>
      </c>
      <c r="C1529" s="9">
        <f t="shared" si="69"/>
        <v>0</v>
      </c>
      <c r="D1529" s="10">
        <v>0</v>
      </c>
      <c r="E1529" s="9">
        <f t="shared" si="70"/>
        <v>0</v>
      </c>
      <c r="F1529" s="9">
        <f t="shared" si="71"/>
        <v>0</v>
      </c>
    </row>
    <row r="1530" s="1" customFormat="1" spans="1:6">
      <c r="A1530" s="8" t="str">
        <f>"2020895128"</f>
        <v>2020895128</v>
      </c>
      <c r="B1530" s="9">
        <v>67</v>
      </c>
      <c r="C1530" s="9">
        <f t="shared" si="69"/>
        <v>20.1</v>
      </c>
      <c r="D1530" s="10">
        <v>53</v>
      </c>
      <c r="E1530" s="9">
        <f t="shared" si="70"/>
        <v>37.1</v>
      </c>
      <c r="F1530" s="9">
        <f t="shared" si="71"/>
        <v>57.2</v>
      </c>
    </row>
    <row r="1531" s="1" customFormat="1" spans="1:6">
      <c r="A1531" s="8" t="str">
        <f>"2020895129"</f>
        <v>2020895129</v>
      </c>
      <c r="B1531" s="9">
        <v>55</v>
      </c>
      <c r="C1531" s="9">
        <f t="shared" si="69"/>
        <v>16.5</v>
      </c>
      <c r="D1531" s="10">
        <v>46</v>
      </c>
      <c r="E1531" s="9">
        <f t="shared" si="70"/>
        <v>32.2</v>
      </c>
      <c r="F1531" s="9">
        <f t="shared" si="71"/>
        <v>48.7</v>
      </c>
    </row>
    <row r="1532" s="1" customFormat="1" spans="1:6">
      <c r="A1532" s="8" t="str">
        <f>"2020895130"</f>
        <v>2020895130</v>
      </c>
      <c r="B1532" s="9">
        <v>67</v>
      </c>
      <c r="C1532" s="9">
        <f t="shared" si="69"/>
        <v>20.1</v>
      </c>
      <c r="D1532" s="10">
        <v>11</v>
      </c>
      <c r="E1532" s="9">
        <f t="shared" si="70"/>
        <v>7.7</v>
      </c>
      <c r="F1532" s="9">
        <f t="shared" si="71"/>
        <v>27.8</v>
      </c>
    </row>
    <row r="1533" s="1" customFormat="1" spans="1:6">
      <c r="A1533" s="8" t="str">
        <f>"2020895201"</f>
        <v>2020895201</v>
      </c>
      <c r="B1533" s="9">
        <v>69</v>
      </c>
      <c r="C1533" s="9">
        <f t="shared" si="69"/>
        <v>20.7</v>
      </c>
      <c r="D1533" s="10">
        <v>38</v>
      </c>
      <c r="E1533" s="9">
        <f t="shared" si="70"/>
        <v>26.6</v>
      </c>
      <c r="F1533" s="9">
        <f t="shared" si="71"/>
        <v>47.3</v>
      </c>
    </row>
    <row r="1534" s="1" customFormat="1" spans="1:6">
      <c r="A1534" s="8" t="str">
        <f>"2020895202"</f>
        <v>2020895202</v>
      </c>
      <c r="B1534" s="9">
        <v>76</v>
      </c>
      <c r="C1534" s="9">
        <f t="shared" si="69"/>
        <v>22.8</v>
      </c>
      <c r="D1534" s="10">
        <v>41</v>
      </c>
      <c r="E1534" s="9">
        <f t="shared" si="70"/>
        <v>28.7</v>
      </c>
      <c r="F1534" s="9">
        <f t="shared" si="71"/>
        <v>51.5</v>
      </c>
    </row>
    <row r="1535" s="1" customFormat="1" spans="1:6">
      <c r="A1535" s="8" t="str">
        <f>"2020895203"</f>
        <v>2020895203</v>
      </c>
      <c r="B1535" s="9">
        <v>76</v>
      </c>
      <c r="C1535" s="9">
        <f t="shared" si="69"/>
        <v>22.8</v>
      </c>
      <c r="D1535" s="10">
        <v>36</v>
      </c>
      <c r="E1535" s="9">
        <f t="shared" si="70"/>
        <v>25.2</v>
      </c>
      <c r="F1535" s="9">
        <f t="shared" si="71"/>
        <v>48</v>
      </c>
    </row>
    <row r="1536" s="1" customFormat="1" spans="1:6">
      <c r="A1536" s="8" t="str">
        <f>"2020895204"</f>
        <v>2020895204</v>
      </c>
      <c r="B1536" s="9">
        <v>73</v>
      </c>
      <c r="C1536" s="9">
        <f t="shared" si="69"/>
        <v>21.9</v>
      </c>
      <c r="D1536" s="10">
        <v>40</v>
      </c>
      <c r="E1536" s="9">
        <f t="shared" si="70"/>
        <v>28</v>
      </c>
      <c r="F1536" s="9">
        <f t="shared" si="71"/>
        <v>49.9</v>
      </c>
    </row>
    <row r="1537" s="1" customFormat="1" spans="1:6">
      <c r="A1537" s="8" t="str">
        <f>"2020895205"</f>
        <v>2020895205</v>
      </c>
      <c r="B1537" s="9">
        <v>76</v>
      </c>
      <c r="C1537" s="9">
        <f t="shared" si="69"/>
        <v>22.8</v>
      </c>
      <c r="D1537" s="10">
        <v>34</v>
      </c>
      <c r="E1537" s="9">
        <f t="shared" si="70"/>
        <v>23.8</v>
      </c>
      <c r="F1537" s="9">
        <f t="shared" si="71"/>
        <v>46.6</v>
      </c>
    </row>
    <row r="1538" s="1" customFormat="1" spans="1:6">
      <c r="A1538" s="8" t="str">
        <f>"2020895206"</f>
        <v>2020895206</v>
      </c>
      <c r="B1538" s="9">
        <v>78</v>
      </c>
      <c r="C1538" s="9">
        <f t="shared" si="69"/>
        <v>23.4</v>
      </c>
      <c r="D1538" s="10">
        <v>33</v>
      </c>
      <c r="E1538" s="9">
        <f t="shared" si="70"/>
        <v>23.1</v>
      </c>
      <c r="F1538" s="9">
        <f t="shared" si="71"/>
        <v>46.5</v>
      </c>
    </row>
    <row r="1539" s="1" customFormat="1" spans="1:6">
      <c r="A1539" s="8" t="str">
        <f>"2020895207"</f>
        <v>2020895207</v>
      </c>
      <c r="B1539" s="9">
        <v>72</v>
      </c>
      <c r="C1539" s="9">
        <f t="shared" ref="C1539:C1602" si="72">B1539*0.3</f>
        <v>21.6</v>
      </c>
      <c r="D1539" s="10">
        <v>49</v>
      </c>
      <c r="E1539" s="9">
        <f t="shared" ref="E1539:E1602" si="73">D1539*0.7</f>
        <v>34.3</v>
      </c>
      <c r="F1539" s="9">
        <f t="shared" ref="F1539:F1602" si="74">C1539+E1539</f>
        <v>55.9</v>
      </c>
    </row>
    <row r="1540" s="1" customFormat="1" spans="1:6">
      <c r="A1540" s="8" t="str">
        <f>"2020895208"</f>
        <v>2020895208</v>
      </c>
      <c r="B1540" s="9">
        <v>63</v>
      </c>
      <c r="C1540" s="9">
        <f t="shared" si="72"/>
        <v>18.9</v>
      </c>
      <c r="D1540" s="10">
        <v>41</v>
      </c>
      <c r="E1540" s="9">
        <f t="shared" si="73"/>
        <v>28.7</v>
      </c>
      <c r="F1540" s="9">
        <f t="shared" si="74"/>
        <v>47.6</v>
      </c>
    </row>
    <row r="1541" s="1" customFormat="1" spans="1:6">
      <c r="A1541" s="8" t="str">
        <f>"2020895209"</f>
        <v>2020895209</v>
      </c>
      <c r="B1541" s="9">
        <v>58</v>
      </c>
      <c r="C1541" s="9">
        <f t="shared" si="72"/>
        <v>17.4</v>
      </c>
      <c r="D1541" s="10">
        <v>27</v>
      </c>
      <c r="E1541" s="9">
        <f t="shared" si="73"/>
        <v>18.9</v>
      </c>
      <c r="F1541" s="9">
        <f t="shared" si="74"/>
        <v>36.3</v>
      </c>
    </row>
    <row r="1542" s="1" customFormat="1" spans="1:6">
      <c r="A1542" s="8" t="str">
        <f>"2020895210"</f>
        <v>2020895210</v>
      </c>
      <c r="B1542" s="9">
        <v>76</v>
      </c>
      <c r="C1542" s="9">
        <f t="shared" si="72"/>
        <v>22.8</v>
      </c>
      <c r="D1542" s="10">
        <v>49</v>
      </c>
      <c r="E1542" s="9">
        <f t="shared" si="73"/>
        <v>34.3</v>
      </c>
      <c r="F1542" s="9">
        <f t="shared" si="74"/>
        <v>57.1</v>
      </c>
    </row>
    <row r="1543" s="1" customFormat="1" spans="1:6">
      <c r="A1543" s="8" t="str">
        <f>"2020895211"</f>
        <v>2020895211</v>
      </c>
      <c r="B1543" s="9">
        <v>66</v>
      </c>
      <c r="C1543" s="9">
        <f t="shared" si="72"/>
        <v>19.8</v>
      </c>
      <c r="D1543" s="10">
        <v>43</v>
      </c>
      <c r="E1543" s="9">
        <f t="shared" si="73"/>
        <v>30.1</v>
      </c>
      <c r="F1543" s="9">
        <f t="shared" si="74"/>
        <v>49.9</v>
      </c>
    </row>
    <row r="1544" s="1" customFormat="1" spans="1:6">
      <c r="A1544" s="8" t="str">
        <f>"2020895212"</f>
        <v>2020895212</v>
      </c>
      <c r="B1544" s="9">
        <v>0</v>
      </c>
      <c r="C1544" s="9">
        <f t="shared" si="72"/>
        <v>0</v>
      </c>
      <c r="D1544" s="10">
        <v>0</v>
      </c>
      <c r="E1544" s="9">
        <f t="shared" si="73"/>
        <v>0</v>
      </c>
      <c r="F1544" s="9">
        <f t="shared" si="74"/>
        <v>0</v>
      </c>
    </row>
    <row r="1545" s="1" customFormat="1" spans="1:6">
      <c r="A1545" s="8" t="str">
        <f>"2020895213"</f>
        <v>2020895213</v>
      </c>
      <c r="B1545" s="9">
        <v>60</v>
      </c>
      <c r="C1545" s="9">
        <f t="shared" si="72"/>
        <v>18</v>
      </c>
      <c r="D1545" s="10">
        <v>45</v>
      </c>
      <c r="E1545" s="9">
        <f t="shared" si="73"/>
        <v>31.5</v>
      </c>
      <c r="F1545" s="9">
        <f t="shared" si="74"/>
        <v>49.5</v>
      </c>
    </row>
    <row r="1546" s="1" customFormat="1" spans="1:6">
      <c r="A1546" s="8" t="str">
        <f>"2020895214"</f>
        <v>2020895214</v>
      </c>
      <c r="B1546" s="9">
        <v>73</v>
      </c>
      <c r="C1546" s="9">
        <f t="shared" si="72"/>
        <v>21.9</v>
      </c>
      <c r="D1546" s="10">
        <v>35</v>
      </c>
      <c r="E1546" s="9">
        <f t="shared" si="73"/>
        <v>24.5</v>
      </c>
      <c r="F1546" s="9">
        <f t="shared" si="74"/>
        <v>46.4</v>
      </c>
    </row>
    <row r="1547" s="1" customFormat="1" spans="1:6">
      <c r="A1547" s="8" t="str">
        <f>"2020895215"</f>
        <v>2020895215</v>
      </c>
      <c r="B1547" s="9">
        <v>59</v>
      </c>
      <c r="C1547" s="9">
        <f t="shared" si="72"/>
        <v>17.7</v>
      </c>
      <c r="D1547" s="10">
        <v>23</v>
      </c>
      <c r="E1547" s="9">
        <f t="shared" si="73"/>
        <v>16.1</v>
      </c>
      <c r="F1547" s="9">
        <f t="shared" si="74"/>
        <v>33.8</v>
      </c>
    </row>
    <row r="1548" s="1" customFormat="1" spans="1:6">
      <c r="A1548" s="8" t="str">
        <f>"2020895216"</f>
        <v>2020895216</v>
      </c>
      <c r="B1548" s="9">
        <v>64</v>
      </c>
      <c r="C1548" s="9">
        <f t="shared" si="72"/>
        <v>19.2</v>
      </c>
      <c r="D1548" s="10">
        <v>51</v>
      </c>
      <c r="E1548" s="9">
        <f t="shared" si="73"/>
        <v>35.7</v>
      </c>
      <c r="F1548" s="9">
        <f t="shared" si="74"/>
        <v>54.9</v>
      </c>
    </row>
    <row r="1549" s="1" customFormat="1" spans="1:6">
      <c r="A1549" s="8" t="str">
        <f>"2020895217"</f>
        <v>2020895217</v>
      </c>
      <c r="B1549" s="9">
        <v>55</v>
      </c>
      <c r="C1549" s="9">
        <f t="shared" si="72"/>
        <v>16.5</v>
      </c>
      <c r="D1549" s="10">
        <v>34</v>
      </c>
      <c r="E1549" s="9">
        <f t="shared" si="73"/>
        <v>23.8</v>
      </c>
      <c r="F1549" s="9">
        <f t="shared" si="74"/>
        <v>40.3</v>
      </c>
    </row>
    <row r="1550" s="1" customFormat="1" spans="1:6">
      <c r="A1550" s="8" t="str">
        <f>"2020895218"</f>
        <v>2020895218</v>
      </c>
      <c r="B1550" s="9">
        <v>55</v>
      </c>
      <c r="C1550" s="9">
        <f t="shared" si="72"/>
        <v>16.5</v>
      </c>
      <c r="D1550" s="10">
        <v>28</v>
      </c>
      <c r="E1550" s="9">
        <f t="shared" si="73"/>
        <v>19.6</v>
      </c>
      <c r="F1550" s="9">
        <f t="shared" si="74"/>
        <v>36.1</v>
      </c>
    </row>
    <row r="1551" s="1" customFormat="1" spans="1:6">
      <c r="A1551" s="8" t="str">
        <f>"2020895219"</f>
        <v>2020895219</v>
      </c>
      <c r="B1551" s="9">
        <v>82</v>
      </c>
      <c r="C1551" s="9">
        <f t="shared" si="72"/>
        <v>24.6</v>
      </c>
      <c r="D1551" s="10">
        <v>42</v>
      </c>
      <c r="E1551" s="9">
        <f t="shared" si="73"/>
        <v>29.4</v>
      </c>
      <c r="F1551" s="9">
        <f t="shared" si="74"/>
        <v>54</v>
      </c>
    </row>
    <row r="1552" s="1" customFormat="1" spans="1:6">
      <c r="A1552" s="8" t="str">
        <f>"2020895220"</f>
        <v>2020895220</v>
      </c>
      <c r="B1552" s="9">
        <v>77</v>
      </c>
      <c r="C1552" s="9">
        <f t="shared" si="72"/>
        <v>23.1</v>
      </c>
      <c r="D1552" s="10">
        <v>52</v>
      </c>
      <c r="E1552" s="9">
        <f t="shared" si="73"/>
        <v>36.4</v>
      </c>
      <c r="F1552" s="9">
        <f t="shared" si="74"/>
        <v>59.5</v>
      </c>
    </row>
    <row r="1553" s="1" customFormat="1" spans="1:6">
      <c r="A1553" s="8" t="str">
        <f>"2020895221"</f>
        <v>2020895221</v>
      </c>
      <c r="B1553" s="9">
        <v>57</v>
      </c>
      <c r="C1553" s="9">
        <f t="shared" si="72"/>
        <v>17.1</v>
      </c>
      <c r="D1553" s="10">
        <v>30</v>
      </c>
      <c r="E1553" s="9">
        <f t="shared" si="73"/>
        <v>21</v>
      </c>
      <c r="F1553" s="9">
        <f t="shared" si="74"/>
        <v>38.1</v>
      </c>
    </row>
    <row r="1554" s="1" customFormat="1" spans="1:6">
      <c r="A1554" s="8" t="str">
        <f>"2020895222"</f>
        <v>2020895222</v>
      </c>
      <c r="B1554" s="9">
        <v>70</v>
      </c>
      <c r="C1554" s="9">
        <f t="shared" si="72"/>
        <v>21</v>
      </c>
      <c r="D1554" s="10">
        <v>19</v>
      </c>
      <c r="E1554" s="9">
        <f t="shared" si="73"/>
        <v>13.3</v>
      </c>
      <c r="F1554" s="9">
        <f t="shared" si="74"/>
        <v>34.3</v>
      </c>
    </row>
    <row r="1555" s="1" customFormat="1" spans="1:6">
      <c r="A1555" s="8" t="str">
        <f>"2020895223"</f>
        <v>2020895223</v>
      </c>
      <c r="B1555" s="9">
        <v>71</v>
      </c>
      <c r="C1555" s="9">
        <f t="shared" si="72"/>
        <v>21.3</v>
      </c>
      <c r="D1555" s="10">
        <v>44</v>
      </c>
      <c r="E1555" s="9">
        <f t="shared" si="73"/>
        <v>30.8</v>
      </c>
      <c r="F1555" s="9">
        <f t="shared" si="74"/>
        <v>52.1</v>
      </c>
    </row>
    <row r="1556" s="1" customFormat="1" spans="1:6">
      <c r="A1556" s="8" t="str">
        <f>"2020895224"</f>
        <v>2020895224</v>
      </c>
      <c r="B1556" s="9">
        <v>73</v>
      </c>
      <c r="C1556" s="9">
        <f t="shared" si="72"/>
        <v>21.9</v>
      </c>
      <c r="D1556" s="10">
        <v>41</v>
      </c>
      <c r="E1556" s="9">
        <f t="shared" si="73"/>
        <v>28.7</v>
      </c>
      <c r="F1556" s="9">
        <f t="shared" si="74"/>
        <v>50.6</v>
      </c>
    </row>
    <row r="1557" s="1" customFormat="1" spans="1:6">
      <c r="A1557" s="8" t="str">
        <f>"2020895225"</f>
        <v>2020895225</v>
      </c>
      <c r="B1557" s="9">
        <v>74</v>
      </c>
      <c r="C1557" s="9">
        <f t="shared" si="72"/>
        <v>22.2</v>
      </c>
      <c r="D1557" s="10">
        <v>41</v>
      </c>
      <c r="E1557" s="9">
        <f t="shared" si="73"/>
        <v>28.7</v>
      </c>
      <c r="F1557" s="9">
        <f t="shared" si="74"/>
        <v>50.9</v>
      </c>
    </row>
    <row r="1558" s="1" customFormat="1" spans="1:6">
      <c r="A1558" s="8" t="str">
        <f>"2020895226"</f>
        <v>2020895226</v>
      </c>
      <c r="B1558" s="9">
        <v>88</v>
      </c>
      <c r="C1558" s="9">
        <f t="shared" si="72"/>
        <v>26.4</v>
      </c>
      <c r="D1558" s="10">
        <v>65</v>
      </c>
      <c r="E1558" s="9">
        <f t="shared" si="73"/>
        <v>45.5</v>
      </c>
      <c r="F1558" s="9">
        <f t="shared" si="74"/>
        <v>71.9</v>
      </c>
    </row>
    <row r="1559" s="1" customFormat="1" spans="1:6">
      <c r="A1559" s="8" t="str">
        <f>"2020895227"</f>
        <v>2020895227</v>
      </c>
      <c r="B1559" s="9">
        <v>0</v>
      </c>
      <c r="C1559" s="9">
        <f t="shared" si="72"/>
        <v>0</v>
      </c>
      <c r="D1559" s="10">
        <v>0</v>
      </c>
      <c r="E1559" s="9">
        <f t="shared" si="73"/>
        <v>0</v>
      </c>
      <c r="F1559" s="9">
        <f t="shared" si="74"/>
        <v>0</v>
      </c>
    </row>
    <row r="1560" s="1" customFormat="1" spans="1:6">
      <c r="A1560" s="8" t="str">
        <f>"2020895228"</f>
        <v>2020895228</v>
      </c>
      <c r="B1560" s="9">
        <v>0</v>
      </c>
      <c r="C1560" s="9">
        <f t="shared" si="72"/>
        <v>0</v>
      </c>
      <c r="D1560" s="10">
        <v>0</v>
      </c>
      <c r="E1560" s="9">
        <f t="shared" si="73"/>
        <v>0</v>
      </c>
      <c r="F1560" s="9">
        <f t="shared" si="74"/>
        <v>0</v>
      </c>
    </row>
    <row r="1561" s="1" customFormat="1" spans="1:6">
      <c r="A1561" s="8" t="str">
        <f>"2020895229"</f>
        <v>2020895229</v>
      </c>
      <c r="B1561" s="9">
        <v>69</v>
      </c>
      <c r="C1561" s="9">
        <f t="shared" si="72"/>
        <v>20.7</v>
      </c>
      <c r="D1561" s="10">
        <v>80</v>
      </c>
      <c r="E1561" s="9">
        <f t="shared" si="73"/>
        <v>56</v>
      </c>
      <c r="F1561" s="9">
        <f t="shared" si="74"/>
        <v>76.7</v>
      </c>
    </row>
    <row r="1562" s="1" customFormat="1" spans="1:6">
      <c r="A1562" s="8" t="str">
        <f>"2020895230"</f>
        <v>2020895230</v>
      </c>
      <c r="B1562" s="9">
        <v>77</v>
      </c>
      <c r="C1562" s="9">
        <f t="shared" si="72"/>
        <v>23.1</v>
      </c>
      <c r="D1562" s="10">
        <v>65</v>
      </c>
      <c r="E1562" s="9">
        <f t="shared" si="73"/>
        <v>45.5</v>
      </c>
      <c r="F1562" s="9">
        <f t="shared" si="74"/>
        <v>68.6</v>
      </c>
    </row>
    <row r="1563" s="1" customFormat="1" spans="1:6">
      <c r="A1563" s="8" t="str">
        <f>"2020895301"</f>
        <v>2020895301</v>
      </c>
      <c r="B1563" s="9">
        <v>71</v>
      </c>
      <c r="C1563" s="9">
        <f t="shared" si="72"/>
        <v>21.3</v>
      </c>
      <c r="D1563" s="10">
        <v>58</v>
      </c>
      <c r="E1563" s="9">
        <f t="shared" si="73"/>
        <v>40.6</v>
      </c>
      <c r="F1563" s="9">
        <f t="shared" si="74"/>
        <v>61.9</v>
      </c>
    </row>
    <row r="1564" s="1" customFormat="1" spans="1:6">
      <c r="A1564" s="8" t="str">
        <f>"2020895302"</f>
        <v>2020895302</v>
      </c>
      <c r="B1564" s="9">
        <v>79</v>
      </c>
      <c r="C1564" s="9">
        <f t="shared" si="72"/>
        <v>23.7</v>
      </c>
      <c r="D1564" s="10">
        <v>69</v>
      </c>
      <c r="E1564" s="9">
        <f t="shared" si="73"/>
        <v>48.3</v>
      </c>
      <c r="F1564" s="9">
        <f t="shared" si="74"/>
        <v>72</v>
      </c>
    </row>
    <row r="1565" s="1" customFormat="1" spans="1:6">
      <c r="A1565" s="8" t="str">
        <f>"2020895303"</f>
        <v>2020895303</v>
      </c>
      <c r="B1565" s="9">
        <v>0</v>
      </c>
      <c r="C1565" s="9">
        <f t="shared" si="72"/>
        <v>0</v>
      </c>
      <c r="D1565" s="10">
        <v>0</v>
      </c>
      <c r="E1565" s="9">
        <f t="shared" si="73"/>
        <v>0</v>
      </c>
      <c r="F1565" s="9">
        <f t="shared" si="74"/>
        <v>0</v>
      </c>
    </row>
    <row r="1566" s="1" customFormat="1" spans="1:6">
      <c r="A1566" s="8" t="str">
        <f>"2020895304"</f>
        <v>2020895304</v>
      </c>
      <c r="B1566" s="9">
        <v>0</v>
      </c>
      <c r="C1566" s="9">
        <f t="shared" si="72"/>
        <v>0</v>
      </c>
      <c r="D1566" s="10">
        <v>0</v>
      </c>
      <c r="E1566" s="9">
        <f t="shared" si="73"/>
        <v>0</v>
      </c>
      <c r="F1566" s="9">
        <f t="shared" si="74"/>
        <v>0</v>
      </c>
    </row>
    <row r="1567" s="1" customFormat="1" spans="1:6">
      <c r="A1567" s="8" t="str">
        <f>"2020895305"</f>
        <v>2020895305</v>
      </c>
      <c r="B1567" s="9">
        <v>77</v>
      </c>
      <c r="C1567" s="9">
        <f t="shared" si="72"/>
        <v>23.1</v>
      </c>
      <c r="D1567" s="10">
        <v>40</v>
      </c>
      <c r="E1567" s="9">
        <f t="shared" si="73"/>
        <v>28</v>
      </c>
      <c r="F1567" s="9">
        <f t="shared" si="74"/>
        <v>51.1</v>
      </c>
    </row>
    <row r="1568" s="1" customFormat="1" spans="1:6">
      <c r="A1568" s="8" t="str">
        <f>"2020895306"</f>
        <v>2020895306</v>
      </c>
      <c r="B1568" s="9">
        <v>0</v>
      </c>
      <c r="C1568" s="9">
        <f t="shared" si="72"/>
        <v>0</v>
      </c>
      <c r="D1568" s="10">
        <v>0</v>
      </c>
      <c r="E1568" s="9">
        <f t="shared" si="73"/>
        <v>0</v>
      </c>
      <c r="F1568" s="9">
        <f t="shared" si="74"/>
        <v>0</v>
      </c>
    </row>
    <row r="1569" s="1" customFormat="1" spans="1:6">
      <c r="A1569" s="8" t="str">
        <f>"2020895307"</f>
        <v>2020895307</v>
      </c>
      <c r="B1569" s="9">
        <v>76</v>
      </c>
      <c r="C1569" s="9">
        <f t="shared" si="72"/>
        <v>22.8</v>
      </c>
      <c r="D1569" s="10">
        <v>44</v>
      </c>
      <c r="E1569" s="9">
        <f t="shared" si="73"/>
        <v>30.8</v>
      </c>
      <c r="F1569" s="9">
        <f t="shared" si="74"/>
        <v>53.6</v>
      </c>
    </row>
    <row r="1570" s="1" customFormat="1" spans="1:6">
      <c r="A1570" s="8" t="str">
        <f>"2020895308"</f>
        <v>2020895308</v>
      </c>
      <c r="B1570" s="9">
        <v>81</v>
      </c>
      <c r="C1570" s="9">
        <f t="shared" si="72"/>
        <v>24.3</v>
      </c>
      <c r="D1570" s="10">
        <v>50</v>
      </c>
      <c r="E1570" s="9">
        <f t="shared" si="73"/>
        <v>35</v>
      </c>
      <c r="F1570" s="9">
        <f t="shared" si="74"/>
        <v>59.3</v>
      </c>
    </row>
    <row r="1571" s="1" customFormat="1" spans="1:6">
      <c r="A1571" s="8" t="str">
        <f>"2020895309"</f>
        <v>2020895309</v>
      </c>
      <c r="B1571" s="9">
        <v>79</v>
      </c>
      <c r="C1571" s="9">
        <f t="shared" si="72"/>
        <v>23.7</v>
      </c>
      <c r="D1571" s="10">
        <v>62</v>
      </c>
      <c r="E1571" s="9">
        <f t="shared" si="73"/>
        <v>43.4</v>
      </c>
      <c r="F1571" s="9">
        <f t="shared" si="74"/>
        <v>67.1</v>
      </c>
    </row>
    <row r="1572" s="1" customFormat="1" spans="1:6">
      <c r="A1572" s="8" t="str">
        <f>"2020895310"</f>
        <v>2020895310</v>
      </c>
      <c r="B1572" s="9">
        <v>78</v>
      </c>
      <c r="C1572" s="9">
        <f t="shared" si="72"/>
        <v>23.4</v>
      </c>
      <c r="D1572" s="10">
        <v>55</v>
      </c>
      <c r="E1572" s="9">
        <f t="shared" si="73"/>
        <v>38.5</v>
      </c>
      <c r="F1572" s="9">
        <f t="shared" si="74"/>
        <v>61.9</v>
      </c>
    </row>
    <row r="1573" s="1" customFormat="1" spans="1:6">
      <c r="A1573" s="8" t="str">
        <f>"2020895311"</f>
        <v>2020895311</v>
      </c>
      <c r="B1573" s="9">
        <v>0</v>
      </c>
      <c r="C1573" s="9">
        <f t="shared" si="72"/>
        <v>0</v>
      </c>
      <c r="D1573" s="10">
        <v>0</v>
      </c>
      <c r="E1573" s="9">
        <f t="shared" si="73"/>
        <v>0</v>
      </c>
      <c r="F1573" s="9">
        <f t="shared" si="74"/>
        <v>0</v>
      </c>
    </row>
    <row r="1574" s="1" customFormat="1" spans="1:6">
      <c r="A1574" s="8" t="str">
        <f>"2020895312"</f>
        <v>2020895312</v>
      </c>
      <c r="B1574" s="9">
        <v>0</v>
      </c>
      <c r="C1574" s="9">
        <f t="shared" si="72"/>
        <v>0</v>
      </c>
      <c r="D1574" s="10">
        <v>0</v>
      </c>
      <c r="E1574" s="9">
        <f t="shared" si="73"/>
        <v>0</v>
      </c>
      <c r="F1574" s="9">
        <f t="shared" si="74"/>
        <v>0</v>
      </c>
    </row>
    <row r="1575" s="1" customFormat="1" spans="1:6">
      <c r="A1575" s="8" t="str">
        <f>"2020895313"</f>
        <v>2020895313</v>
      </c>
      <c r="B1575" s="9">
        <v>77</v>
      </c>
      <c r="C1575" s="9">
        <f t="shared" si="72"/>
        <v>23.1</v>
      </c>
      <c r="D1575" s="10">
        <v>60</v>
      </c>
      <c r="E1575" s="9">
        <f t="shared" si="73"/>
        <v>42</v>
      </c>
      <c r="F1575" s="9">
        <f t="shared" si="74"/>
        <v>65.1</v>
      </c>
    </row>
    <row r="1576" s="1" customFormat="1" spans="1:6">
      <c r="A1576" s="8" t="str">
        <f>"2020895314"</f>
        <v>2020895314</v>
      </c>
      <c r="B1576" s="9">
        <v>81</v>
      </c>
      <c r="C1576" s="9">
        <f t="shared" si="72"/>
        <v>24.3</v>
      </c>
      <c r="D1576" s="10">
        <v>58</v>
      </c>
      <c r="E1576" s="9">
        <f t="shared" si="73"/>
        <v>40.6</v>
      </c>
      <c r="F1576" s="9">
        <f t="shared" si="74"/>
        <v>64.9</v>
      </c>
    </row>
    <row r="1577" s="1" customFormat="1" spans="1:6">
      <c r="A1577" s="8" t="str">
        <f>"2020895315"</f>
        <v>2020895315</v>
      </c>
      <c r="B1577" s="9">
        <v>73</v>
      </c>
      <c r="C1577" s="9">
        <f t="shared" si="72"/>
        <v>21.9</v>
      </c>
      <c r="D1577" s="10">
        <v>68</v>
      </c>
      <c r="E1577" s="9">
        <f t="shared" si="73"/>
        <v>47.6</v>
      </c>
      <c r="F1577" s="9">
        <f t="shared" si="74"/>
        <v>69.5</v>
      </c>
    </row>
    <row r="1578" s="1" customFormat="1" spans="1:6">
      <c r="A1578" s="8" t="str">
        <f>"2020895316"</f>
        <v>2020895316</v>
      </c>
      <c r="B1578" s="9">
        <v>83</v>
      </c>
      <c r="C1578" s="9">
        <f t="shared" si="72"/>
        <v>24.9</v>
      </c>
      <c r="D1578" s="10">
        <v>72</v>
      </c>
      <c r="E1578" s="9">
        <f t="shared" si="73"/>
        <v>50.4</v>
      </c>
      <c r="F1578" s="9">
        <f t="shared" si="74"/>
        <v>75.3</v>
      </c>
    </row>
    <row r="1579" s="1" customFormat="1" spans="1:6">
      <c r="A1579" s="8" t="str">
        <f>"2020895317"</f>
        <v>2020895317</v>
      </c>
      <c r="B1579" s="9">
        <v>78</v>
      </c>
      <c r="C1579" s="9">
        <f t="shared" si="72"/>
        <v>23.4</v>
      </c>
      <c r="D1579" s="10">
        <v>57</v>
      </c>
      <c r="E1579" s="9">
        <f t="shared" si="73"/>
        <v>39.9</v>
      </c>
      <c r="F1579" s="9">
        <f t="shared" si="74"/>
        <v>63.3</v>
      </c>
    </row>
    <row r="1580" s="1" customFormat="1" spans="1:6">
      <c r="A1580" s="8" t="str">
        <f>"2020895318"</f>
        <v>2020895318</v>
      </c>
      <c r="B1580" s="9">
        <v>76</v>
      </c>
      <c r="C1580" s="9">
        <f t="shared" si="72"/>
        <v>22.8</v>
      </c>
      <c r="D1580" s="10">
        <v>62</v>
      </c>
      <c r="E1580" s="9">
        <f t="shared" si="73"/>
        <v>43.4</v>
      </c>
      <c r="F1580" s="9">
        <f t="shared" si="74"/>
        <v>66.2</v>
      </c>
    </row>
    <row r="1581" s="1" customFormat="1" spans="1:6">
      <c r="A1581" s="8" t="str">
        <f>"2020895319"</f>
        <v>2020895319</v>
      </c>
      <c r="B1581" s="9">
        <v>85</v>
      </c>
      <c r="C1581" s="9">
        <f t="shared" si="72"/>
        <v>25.5</v>
      </c>
      <c r="D1581" s="10">
        <v>56</v>
      </c>
      <c r="E1581" s="9">
        <f t="shared" si="73"/>
        <v>39.2</v>
      </c>
      <c r="F1581" s="9">
        <f t="shared" si="74"/>
        <v>64.7</v>
      </c>
    </row>
    <row r="1582" s="1" customFormat="1" spans="1:6">
      <c r="A1582" s="8" t="str">
        <f>"2020895320"</f>
        <v>2020895320</v>
      </c>
      <c r="B1582" s="9">
        <v>14</v>
      </c>
      <c r="C1582" s="9">
        <f t="shared" si="72"/>
        <v>4.2</v>
      </c>
      <c r="D1582" s="10">
        <v>21</v>
      </c>
      <c r="E1582" s="9">
        <f t="shared" si="73"/>
        <v>14.7</v>
      </c>
      <c r="F1582" s="9">
        <f t="shared" si="74"/>
        <v>18.9</v>
      </c>
    </row>
    <row r="1583" s="1" customFormat="1" spans="1:6">
      <c r="A1583" s="8" t="str">
        <f>"2020895321"</f>
        <v>2020895321</v>
      </c>
      <c r="B1583" s="9">
        <v>72</v>
      </c>
      <c r="C1583" s="9">
        <f t="shared" si="72"/>
        <v>21.6</v>
      </c>
      <c r="D1583" s="10">
        <v>40</v>
      </c>
      <c r="E1583" s="9">
        <f t="shared" si="73"/>
        <v>28</v>
      </c>
      <c r="F1583" s="9">
        <f t="shared" si="74"/>
        <v>49.6</v>
      </c>
    </row>
    <row r="1584" s="1" customFormat="1" spans="1:6">
      <c r="A1584" s="8" t="str">
        <f>"2020895322"</f>
        <v>2020895322</v>
      </c>
      <c r="B1584" s="9">
        <v>75</v>
      </c>
      <c r="C1584" s="9">
        <f t="shared" si="72"/>
        <v>22.5</v>
      </c>
      <c r="D1584" s="10">
        <v>59</v>
      </c>
      <c r="E1584" s="9">
        <f t="shared" si="73"/>
        <v>41.3</v>
      </c>
      <c r="F1584" s="9">
        <f t="shared" si="74"/>
        <v>63.8</v>
      </c>
    </row>
    <row r="1585" s="1" customFormat="1" spans="1:6">
      <c r="A1585" s="8" t="str">
        <f>"2020895323"</f>
        <v>2020895323</v>
      </c>
      <c r="B1585" s="9">
        <v>79</v>
      </c>
      <c r="C1585" s="9">
        <f t="shared" si="72"/>
        <v>23.7</v>
      </c>
      <c r="D1585" s="10">
        <v>68</v>
      </c>
      <c r="E1585" s="9">
        <f t="shared" si="73"/>
        <v>47.6</v>
      </c>
      <c r="F1585" s="9">
        <f t="shared" si="74"/>
        <v>71.3</v>
      </c>
    </row>
    <row r="1586" s="1" customFormat="1" spans="1:6">
      <c r="A1586" s="8" t="str">
        <f>"2020895324"</f>
        <v>2020895324</v>
      </c>
      <c r="B1586" s="9">
        <v>76</v>
      </c>
      <c r="C1586" s="9">
        <f t="shared" si="72"/>
        <v>22.8</v>
      </c>
      <c r="D1586" s="10">
        <v>81</v>
      </c>
      <c r="E1586" s="9">
        <f t="shared" si="73"/>
        <v>56.7</v>
      </c>
      <c r="F1586" s="9">
        <f t="shared" si="74"/>
        <v>79.5</v>
      </c>
    </row>
    <row r="1587" s="1" customFormat="1" spans="1:6">
      <c r="A1587" s="8" t="str">
        <f>"2020895325"</f>
        <v>2020895325</v>
      </c>
      <c r="B1587" s="9">
        <v>78</v>
      </c>
      <c r="C1587" s="9">
        <f t="shared" si="72"/>
        <v>23.4</v>
      </c>
      <c r="D1587" s="10">
        <v>75</v>
      </c>
      <c r="E1587" s="9">
        <f t="shared" si="73"/>
        <v>52.5</v>
      </c>
      <c r="F1587" s="9">
        <f t="shared" si="74"/>
        <v>75.9</v>
      </c>
    </row>
    <row r="1588" s="1" customFormat="1" spans="1:6">
      <c r="A1588" s="8" t="str">
        <f>"2020895326"</f>
        <v>2020895326</v>
      </c>
      <c r="B1588" s="9">
        <v>82</v>
      </c>
      <c r="C1588" s="9">
        <f t="shared" si="72"/>
        <v>24.6</v>
      </c>
      <c r="D1588" s="10">
        <v>51</v>
      </c>
      <c r="E1588" s="9">
        <f t="shared" si="73"/>
        <v>35.7</v>
      </c>
      <c r="F1588" s="9">
        <f t="shared" si="74"/>
        <v>60.3</v>
      </c>
    </row>
    <row r="1589" s="1" customFormat="1" spans="1:6">
      <c r="A1589" s="8" t="str">
        <f>"2020895327"</f>
        <v>2020895327</v>
      </c>
      <c r="B1589" s="9">
        <v>0</v>
      </c>
      <c r="C1589" s="9">
        <f t="shared" si="72"/>
        <v>0</v>
      </c>
      <c r="D1589" s="10">
        <v>0</v>
      </c>
      <c r="E1589" s="9">
        <f t="shared" si="73"/>
        <v>0</v>
      </c>
      <c r="F1589" s="9">
        <f t="shared" si="74"/>
        <v>0</v>
      </c>
    </row>
    <row r="1590" s="1" customFormat="1" spans="1:6">
      <c r="A1590" s="8" t="str">
        <f>"2020895328"</f>
        <v>2020895328</v>
      </c>
      <c r="B1590" s="9">
        <v>82</v>
      </c>
      <c r="C1590" s="9">
        <f t="shared" si="72"/>
        <v>24.6</v>
      </c>
      <c r="D1590" s="10">
        <v>67</v>
      </c>
      <c r="E1590" s="9">
        <f t="shared" si="73"/>
        <v>46.9</v>
      </c>
      <c r="F1590" s="9">
        <f t="shared" si="74"/>
        <v>71.5</v>
      </c>
    </row>
    <row r="1591" s="1" customFormat="1" spans="1:6">
      <c r="A1591" s="8" t="str">
        <f>"2020895329"</f>
        <v>2020895329</v>
      </c>
      <c r="B1591" s="9">
        <v>77</v>
      </c>
      <c r="C1591" s="9">
        <f t="shared" si="72"/>
        <v>23.1</v>
      </c>
      <c r="D1591" s="10">
        <v>64</v>
      </c>
      <c r="E1591" s="9">
        <f t="shared" si="73"/>
        <v>44.8</v>
      </c>
      <c r="F1591" s="9">
        <f t="shared" si="74"/>
        <v>67.9</v>
      </c>
    </row>
    <row r="1592" s="1" customFormat="1" spans="1:6">
      <c r="A1592" s="8" t="str">
        <f>"2020895330"</f>
        <v>2020895330</v>
      </c>
      <c r="B1592" s="9">
        <v>0</v>
      </c>
      <c r="C1592" s="9">
        <f t="shared" si="72"/>
        <v>0</v>
      </c>
      <c r="D1592" s="10">
        <v>0</v>
      </c>
      <c r="E1592" s="9">
        <f t="shared" si="73"/>
        <v>0</v>
      </c>
      <c r="F1592" s="9">
        <f t="shared" si="74"/>
        <v>0</v>
      </c>
    </row>
    <row r="1593" s="1" customFormat="1" spans="1:6">
      <c r="A1593" s="8" t="str">
        <f>"2020895401"</f>
        <v>2020895401</v>
      </c>
      <c r="B1593" s="9">
        <v>77</v>
      </c>
      <c r="C1593" s="9">
        <f t="shared" si="72"/>
        <v>23.1</v>
      </c>
      <c r="D1593" s="10">
        <v>65</v>
      </c>
      <c r="E1593" s="9">
        <f t="shared" si="73"/>
        <v>45.5</v>
      </c>
      <c r="F1593" s="9">
        <f t="shared" si="74"/>
        <v>68.6</v>
      </c>
    </row>
    <row r="1594" s="1" customFormat="1" spans="1:6">
      <c r="A1594" s="8" t="str">
        <f>"2020895402"</f>
        <v>2020895402</v>
      </c>
      <c r="B1594" s="9">
        <v>83</v>
      </c>
      <c r="C1594" s="9">
        <f t="shared" si="72"/>
        <v>24.9</v>
      </c>
      <c r="D1594" s="10">
        <v>78</v>
      </c>
      <c r="E1594" s="9">
        <f t="shared" si="73"/>
        <v>54.6</v>
      </c>
      <c r="F1594" s="9">
        <f t="shared" si="74"/>
        <v>79.5</v>
      </c>
    </row>
    <row r="1595" s="1" customFormat="1" spans="1:6">
      <c r="A1595" s="8" t="str">
        <f>"2020895403"</f>
        <v>2020895403</v>
      </c>
      <c r="B1595" s="9">
        <v>77</v>
      </c>
      <c r="C1595" s="9">
        <f t="shared" si="72"/>
        <v>23.1</v>
      </c>
      <c r="D1595" s="10">
        <v>56</v>
      </c>
      <c r="E1595" s="9">
        <f t="shared" si="73"/>
        <v>39.2</v>
      </c>
      <c r="F1595" s="9">
        <f t="shared" si="74"/>
        <v>62.3</v>
      </c>
    </row>
    <row r="1596" s="1" customFormat="1" spans="1:6">
      <c r="A1596" s="8" t="str">
        <f>"2020895404"</f>
        <v>2020895404</v>
      </c>
      <c r="B1596" s="9">
        <v>0</v>
      </c>
      <c r="C1596" s="9">
        <f t="shared" si="72"/>
        <v>0</v>
      </c>
      <c r="D1596" s="10">
        <v>0</v>
      </c>
      <c r="E1596" s="9">
        <f t="shared" si="73"/>
        <v>0</v>
      </c>
      <c r="F1596" s="9">
        <f t="shared" si="74"/>
        <v>0</v>
      </c>
    </row>
    <row r="1597" s="1" customFormat="1" spans="1:6">
      <c r="A1597" s="8" t="str">
        <f>"2020895405"</f>
        <v>2020895405</v>
      </c>
      <c r="B1597" s="9">
        <v>80</v>
      </c>
      <c r="C1597" s="9">
        <f t="shared" si="72"/>
        <v>24</v>
      </c>
      <c r="D1597" s="10">
        <v>55</v>
      </c>
      <c r="E1597" s="9">
        <f t="shared" si="73"/>
        <v>38.5</v>
      </c>
      <c r="F1597" s="9">
        <f t="shared" si="74"/>
        <v>62.5</v>
      </c>
    </row>
    <row r="1598" s="1" customFormat="1" spans="1:6">
      <c r="A1598" s="8" t="str">
        <f>"2020895406"</f>
        <v>2020895406</v>
      </c>
      <c r="B1598" s="9">
        <v>86</v>
      </c>
      <c r="C1598" s="9">
        <f t="shared" si="72"/>
        <v>25.8</v>
      </c>
      <c r="D1598" s="10">
        <v>76</v>
      </c>
      <c r="E1598" s="9">
        <f t="shared" si="73"/>
        <v>53.2</v>
      </c>
      <c r="F1598" s="9">
        <f t="shared" si="74"/>
        <v>79</v>
      </c>
    </row>
    <row r="1599" s="1" customFormat="1" spans="1:6">
      <c r="A1599" s="8" t="str">
        <f>"2020895407"</f>
        <v>2020895407</v>
      </c>
      <c r="B1599" s="9">
        <v>0</v>
      </c>
      <c r="C1599" s="9">
        <f t="shared" si="72"/>
        <v>0</v>
      </c>
      <c r="D1599" s="10">
        <v>0</v>
      </c>
      <c r="E1599" s="9">
        <f t="shared" si="73"/>
        <v>0</v>
      </c>
      <c r="F1599" s="9">
        <f t="shared" si="74"/>
        <v>0</v>
      </c>
    </row>
    <row r="1600" s="1" customFormat="1" spans="1:6">
      <c r="A1600" s="8" t="str">
        <f>"2020895408"</f>
        <v>2020895408</v>
      </c>
      <c r="B1600" s="9">
        <v>77</v>
      </c>
      <c r="C1600" s="9">
        <f t="shared" si="72"/>
        <v>23.1</v>
      </c>
      <c r="D1600" s="10">
        <v>72</v>
      </c>
      <c r="E1600" s="9">
        <f t="shared" si="73"/>
        <v>50.4</v>
      </c>
      <c r="F1600" s="9">
        <f t="shared" si="74"/>
        <v>73.5</v>
      </c>
    </row>
    <row r="1601" s="1" customFormat="1" spans="1:6">
      <c r="A1601" s="8" t="str">
        <f>"2020895409"</f>
        <v>2020895409</v>
      </c>
      <c r="B1601" s="9">
        <v>76</v>
      </c>
      <c r="C1601" s="9">
        <f t="shared" si="72"/>
        <v>22.8</v>
      </c>
      <c r="D1601" s="10">
        <v>70</v>
      </c>
      <c r="E1601" s="9">
        <f t="shared" si="73"/>
        <v>49</v>
      </c>
      <c r="F1601" s="9">
        <f t="shared" si="74"/>
        <v>71.8</v>
      </c>
    </row>
    <row r="1602" s="1" customFormat="1" spans="1:6">
      <c r="A1602" s="8" t="str">
        <f>"2020895410"</f>
        <v>2020895410</v>
      </c>
      <c r="B1602" s="9">
        <v>83</v>
      </c>
      <c r="C1602" s="9">
        <f t="shared" si="72"/>
        <v>24.9</v>
      </c>
      <c r="D1602" s="10">
        <v>50</v>
      </c>
      <c r="E1602" s="9">
        <f t="shared" si="73"/>
        <v>35</v>
      </c>
      <c r="F1602" s="9">
        <f t="shared" si="74"/>
        <v>59.9</v>
      </c>
    </row>
    <row r="1603" s="1" customFormat="1" spans="1:6">
      <c r="A1603" s="8" t="str">
        <f>"2020895411"</f>
        <v>2020895411</v>
      </c>
      <c r="B1603" s="9">
        <v>83</v>
      </c>
      <c r="C1603" s="9">
        <f t="shared" ref="C1603:C1666" si="75">B1603*0.3</f>
        <v>24.9</v>
      </c>
      <c r="D1603" s="10">
        <v>68</v>
      </c>
      <c r="E1603" s="9">
        <f t="shared" ref="E1603:E1666" si="76">D1603*0.7</f>
        <v>47.6</v>
      </c>
      <c r="F1603" s="9">
        <f t="shared" ref="F1603:F1666" si="77">C1603+E1603</f>
        <v>72.5</v>
      </c>
    </row>
    <row r="1604" s="1" customFormat="1" spans="1:6">
      <c r="A1604" s="8" t="str">
        <f>"2020895412"</f>
        <v>2020895412</v>
      </c>
      <c r="B1604" s="9">
        <v>90</v>
      </c>
      <c r="C1604" s="9">
        <f t="shared" si="75"/>
        <v>27</v>
      </c>
      <c r="D1604" s="10">
        <v>70</v>
      </c>
      <c r="E1604" s="9">
        <f t="shared" si="76"/>
        <v>49</v>
      </c>
      <c r="F1604" s="9">
        <f t="shared" si="77"/>
        <v>76</v>
      </c>
    </row>
    <row r="1605" s="1" customFormat="1" spans="1:6">
      <c r="A1605" s="8" t="str">
        <f>"2020895413"</f>
        <v>2020895413</v>
      </c>
      <c r="B1605" s="9">
        <v>79</v>
      </c>
      <c r="C1605" s="9">
        <f t="shared" si="75"/>
        <v>23.7</v>
      </c>
      <c r="D1605" s="10">
        <v>62</v>
      </c>
      <c r="E1605" s="9">
        <f t="shared" si="76"/>
        <v>43.4</v>
      </c>
      <c r="F1605" s="9">
        <f t="shared" si="77"/>
        <v>67.1</v>
      </c>
    </row>
    <row r="1606" s="1" customFormat="1" spans="1:6">
      <c r="A1606" s="8" t="str">
        <f>"2020895414"</f>
        <v>2020895414</v>
      </c>
      <c r="B1606" s="9">
        <v>0</v>
      </c>
      <c r="C1606" s="9">
        <f t="shared" si="75"/>
        <v>0</v>
      </c>
      <c r="D1606" s="10">
        <v>0</v>
      </c>
      <c r="E1606" s="9">
        <f t="shared" si="76"/>
        <v>0</v>
      </c>
      <c r="F1606" s="9">
        <f t="shared" si="77"/>
        <v>0</v>
      </c>
    </row>
    <row r="1607" s="1" customFormat="1" spans="1:6">
      <c r="A1607" s="8" t="str">
        <f>"2020895415"</f>
        <v>2020895415</v>
      </c>
      <c r="B1607" s="9">
        <v>69</v>
      </c>
      <c r="C1607" s="9">
        <f t="shared" si="75"/>
        <v>20.7</v>
      </c>
      <c r="D1607" s="10">
        <v>57</v>
      </c>
      <c r="E1607" s="9">
        <f t="shared" si="76"/>
        <v>39.9</v>
      </c>
      <c r="F1607" s="9">
        <f t="shared" si="77"/>
        <v>60.6</v>
      </c>
    </row>
    <row r="1608" s="1" customFormat="1" spans="1:6">
      <c r="A1608" s="8" t="str">
        <f>"2020895416"</f>
        <v>2020895416</v>
      </c>
      <c r="B1608" s="9">
        <v>77</v>
      </c>
      <c r="C1608" s="9">
        <f t="shared" si="75"/>
        <v>23.1</v>
      </c>
      <c r="D1608" s="10">
        <v>62</v>
      </c>
      <c r="E1608" s="9">
        <f t="shared" si="76"/>
        <v>43.4</v>
      </c>
      <c r="F1608" s="9">
        <f t="shared" si="77"/>
        <v>66.5</v>
      </c>
    </row>
    <row r="1609" s="1" customFormat="1" spans="1:6">
      <c r="A1609" s="8" t="str">
        <f>"2020895417"</f>
        <v>2020895417</v>
      </c>
      <c r="B1609" s="9">
        <v>80</v>
      </c>
      <c r="C1609" s="9">
        <f t="shared" si="75"/>
        <v>24</v>
      </c>
      <c r="D1609" s="10">
        <v>66</v>
      </c>
      <c r="E1609" s="9">
        <f t="shared" si="76"/>
        <v>46.2</v>
      </c>
      <c r="F1609" s="9">
        <f t="shared" si="77"/>
        <v>70.2</v>
      </c>
    </row>
    <row r="1610" s="1" customFormat="1" spans="1:6">
      <c r="A1610" s="8" t="str">
        <f>"2020895418"</f>
        <v>2020895418</v>
      </c>
      <c r="B1610" s="9">
        <v>78</v>
      </c>
      <c r="C1610" s="9">
        <f t="shared" si="75"/>
        <v>23.4</v>
      </c>
      <c r="D1610" s="10">
        <v>68</v>
      </c>
      <c r="E1610" s="9">
        <f t="shared" si="76"/>
        <v>47.6</v>
      </c>
      <c r="F1610" s="9">
        <f t="shared" si="77"/>
        <v>71</v>
      </c>
    </row>
    <row r="1611" s="1" customFormat="1" spans="1:6">
      <c r="A1611" s="8" t="str">
        <f>"2020895419"</f>
        <v>2020895419</v>
      </c>
      <c r="B1611" s="9">
        <v>88</v>
      </c>
      <c r="C1611" s="9">
        <f t="shared" si="75"/>
        <v>26.4</v>
      </c>
      <c r="D1611" s="10">
        <v>57</v>
      </c>
      <c r="E1611" s="9">
        <f t="shared" si="76"/>
        <v>39.9</v>
      </c>
      <c r="F1611" s="9">
        <f t="shared" si="77"/>
        <v>66.3</v>
      </c>
    </row>
    <row r="1612" s="1" customFormat="1" spans="1:6">
      <c r="A1612" s="8" t="str">
        <f>"2020895420"</f>
        <v>2020895420</v>
      </c>
      <c r="B1612" s="9">
        <v>80</v>
      </c>
      <c r="C1612" s="9">
        <f t="shared" si="75"/>
        <v>24</v>
      </c>
      <c r="D1612" s="10">
        <v>71</v>
      </c>
      <c r="E1612" s="9">
        <f t="shared" si="76"/>
        <v>49.7</v>
      </c>
      <c r="F1612" s="9">
        <f t="shared" si="77"/>
        <v>73.7</v>
      </c>
    </row>
    <row r="1613" s="1" customFormat="1" spans="1:6">
      <c r="A1613" s="8" t="str">
        <f>"2020895421"</f>
        <v>2020895421</v>
      </c>
      <c r="B1613" s="9">
        <v>86</v>
      </c>
      <c r="C1613" s="9">
        <f t="shared" si="75"/>
        <v>25.8</v>
      </c>
      <c r="D1613" s="10">
        <v>66</v>
      </c>
      <c r="E1613" s="9">
        <f t="shared" si="76"/>
        <v>46.2</v>
      </c>
      <c r="F1613" s="9">
        <f t="shared" si="77"/>
        <v>72</v>
      </c>
    </row>
    <row r="1614" s="1" customFormat="1" spans="1:6">
      <c r="A1614" s="8" t="str">
        <f>"2020895422"</f>
        <v>2020895422</v>
      </c>
      <c r="B1614" s="9">
        <v>0</v>
      </c>
      <c r="C1614" s="9">
        <f t="shared" si="75"/>
        <v>0</v>
      </c>
      <c r="D1614" s="10">
        <v>0</v>
      </c>
      <c r="E1614" s="9">
        <f t="shared" si="76"/>
        <v>0</v>
      </c>
      <c r="F1614" s="9">
        <f t="shared" si="77"/>
        <v>0</v>
      </c>
    </row>
    <row r="1615" s="1" customFormat="1" spans="1:6">
      <c r="A1615" s="8" t="str">
        <f>"2020895423"</f>
        <v>2020895423</v>
      </c>
      <c r="B1615" s="9">
        <v>84</v>
      </c>
      <c r="C1615" s="9">
        <f t="shared" si="75"/>
        <v>25.2</v>
      </c>
      <c r="D1615" s="10">
        <v>66</v>
      </c>
      <c r="E1615" s="9">
        <f t="shared" si="76"/>
        <v>46.2</v>
      </c>
      <c r="F1615" s="9">
        <f t="shared" si="77"/>
        <v>71.4</v>
      </c>
    </row>
    <row r="1616" s="1" customFormat="1" spans="1:6">
      <c r="A1616" s="8" t="str">
        <f>"2020895424"</f>
        <v>2020895424</v>
      </c>
      <c r="B1616" s="9">
        <v>89</v>
      </c>
      <c r="C1616" s="9">
        <f t="shared" si="75"/>
        <v>26.7</v>
      </c>
      <c r="D1616" s="10">
        <v>66</v>
      </c>
      <c r="E1616" s="9">
        <f t="shared" si="76"/>
        <v>46.2</v>
      </c>
      <c r="F1616" s="9">
        <f t="shared" si="77"/>
        <v>72.9</v>
      </c>
    </row>
    <row r="1617" s="1" customFormat="1" spans="1:6">
      <c r="A1617" s="8" t="str">
        <f>"2020895425"</f>
        <v>2020895425</v>
      </c>
      <c r="B1617" s="9">
        <v>80</v>
      </c>
      <c r="C1617" s="9">
        <f t="shared" si="75"/>
        <v>24</v>
      </c>
      <c r="D1617" s="10">
        <v>44</v>
      </c>
      <c r="E1617" s="9">
        <f t="shared" si="76"/>
        <v>30.8</v>
      </c>
      <c r="F1617" s="9">
        <f t="shared" si="77"/>
        <v>54.8</v>
      </c>
    </row>
    <row r="1618" s="1" customFormat="1" spans="1:6">
      <c r="A1618" s="8" t="str">
        <f>"2020895426"</f>
        <v>2020895426</v>
      </c>
      <c r="B1618" s="9">
        <v>59</v>
      </c>
      <c r="C1618" s="9">
        <f t="shared" si="75"/>
        <v>17.7</v>
      </c>
      <c r="D1618" s="10">
        <v>43</v>
      </c>
      <c r="E1618" s="9">
        <f t="shared" si="76"/>
        <v>30.1</v>
      </c>
      <c r="F1618" s="9">
        <f t="shared" si="77"/>
        <v>47.8</v>
      </c>
    </row>
    <row r="1619" s="1" customFormat="1" spans="1:6">
      <c r="A1619" s="8" t="str">
        <f>"2020895427"</f>
        <v>2020895427</v>
      </c>
      <c r="B1619" s="9">
        <v>85</v>
      </c>
      <c r="C1619" s="9">
        <f t="shared" si="75"/>
        <v>25.5</v>
      </c>
      <c r="D1619" s="10">
        <v>58</v>
      </c>
      <c r="E1619" s="9">
        <f t="shared" si="76"/>
        <v>40.6</v>
      </c>
      <c r="F1619" s="9">
        <f t="shared" si="77"/>
        <v>66.1</v>
      </c>
    </row>
    <row r="1620" s="1" customFormat="1" spans="1:6">
      <c r="A1620" s="8" t="str">
        <f>"2020895428"</f>
        <v>2020895428</v>
      </c>
      <c r="B1620" s="9">
        <v>0</v>
      </c>
      <c r="C1620" s="9">
        <f t="shared" si="75"/>
        <v>0</v>
      </c>
      <c r="D1620" s="10">
        <v>0</v>
      </c>
      <c r="E1620" s="9">
        <f t="shared" si="76"/>
        <v>0</v>
      </c>
      <c r="F1620" s="9">
        <f t="shared" si="77"/>
        <v>0</v>
      </c>
    </row>
    <row r="1621" s="1" customFormat="1" spans="1:6">
      <c r="A1621" s="8" t="str">
        <f>"2020895429"</f>
        <v>2020895429</v>
      </c>
      <c r="B1621" s="9">
        <v>79</v>
      </c>
      <c r="C1621" s="9">
        <f t="shared" si="75"/>
        <v>23.7</v>
      </c>
      <c r="D1621" s="10">
        <v>41</v>
      </c>
      <c r="E1621" s="9">
        <f t="shared" si="76"/>
        <v>28.7</v>
      </c>
      <c r="F1621" s="9">
        <f t="shared" si="77"/>
        <v>52.4</v>
      </c>
    </row>
    <row r="1622" s="1" customFormat="1" spans="1:6">
      <c r="A1622" s="8" t="str">
        <f>"2020895430"</f>
        <v>2020895430</v>
      </c>
      <c r="B1622" s="9">
        <v>71</v>
      </c>
      <c r="C1622" s="9">
        <f t="shared" si="75"/>
        <v>21.3</v>
      </c>
      <c r="D1622" s="10">
        <v>56</v>
      </c>
      <c r="E1622" s="9">
        <f t="shared" si="76"/>
        <v>39.2</v>
      </c>
      <c r="F1622" s="9">
        <f t="shared" si="77"/>
        <v>60.5</v>
      </c>
    </row>
    <row r="1623" s="1" customFormat="1" spans="1:6">
      <c r="A1623" s="8" t="str">
        <f>"2020895501"</f>
        <v>2020895501</v>
      </c>
      <c r="B1623" s="9">
        <v>79</v>
      </c>
      <c r="C1623" s="9">
        <f t="shared" si="75"/>
        <v>23.7</v>
      </c>
      <c r="D1623" s="10">
        <v>50</v>
      </c>
      <c r="E1623" s="9">
        <f t="shared" si="76"/>
        <v>35</v>
      </c>
      <c r="F1623" s="9">
        <f t="shared" si="77"/>
        <v>58.7</v>
      </c>
    </row>
    <row r="1624" s="1" customFormat="1" spans="1:6">
      <c r="A1624" s="8" t="str">
        <f>"2020895502"</f>
        <v>2020895502</v>
      </c>
      <c r="B1624" s="9">
        <v>73</v>
      </c>
      <c r="C1624" s="9">
        <f t="shared" si="75"/>
        <v>21.9</v>
      </c>
      <c r="D1624" s="10">
        <v>49</v>
      </c>
      <c r="E1624" s="9">
        <f t="shared" si="76"/>
        <v>34.3</v>
      </c>
      <c r="F1624" s="9">
        <f t="shared" si="77"/>
        <v>56.2</v>
      </c>
    </row>
    <row r="1625" s="1" customFormat="1" spans="1:6">
      <c r="A1625" s="8" t="str">
        <f>"2020895503"</f>
        <v>2020895503</v>
      </c>
      <c r="B1625" s="9">
        <v>77</v>
      </c>
      <c r="C1625" s="9">
        <f t="shared" si="75"/>
        <v>23.1</v>
      </c>
      <c r="D1625" s="10">
        <v>60</v>
      </c>
      <c r="E1625" s="9">
        <f t="shared" si="76"/>
        <v>42</v>
      </c>
      <c r="F1625" s="9">
        <f t="shared" si="77"/>
        <v>65.1</v>
      </c>
    </row>
    <row r="1626" s="1" customFormat="1" spans="1:6">
      <c r="A1626" s="8" t="str">
        <f>"2020895504"</f>
        <v>2020895504</v>
      </c>
      <c r="B1626" s="9">
        <v>84</v>
      </c>
      <c r="C1626" s="9">
        <f t="shared" si="75"/>
        <v>25.2</v>
      </c>
      <c r="D1626" s="10">
        <v>71</v>
      </c>
      <c r="E1626" s="9">
        <f t="shared" si="76"/>
        <v>49.7</v>
      </c>
      <c r="F1626" s="9">
        <f t="shared" si="77"/>
        <v>74.9</v>
      </c>
    </row>
    <row r="1627" s="1" customFormat="1" spans="1:6">
      <c r="A1627" s="8" t="str">
        <f>"2020895505"</f>
        <v>2020895505</v>
      </c>
      <c r="B1627" s="9">
        <v>76</v>
      </c>
      <c r="C1627" s="9">
        <f t="shared" si="75"/>
        <v>22.8</v>
      </c>
      <c r="D1627" s="10">
        <v>66</v>
      </c>
      <c r="E1627" s="9">
        <f t="shared" si="76"/>
        <v>46.2</v>
      </c>
      <c r="F1627" s="9">
        <f t="shared" si="77"/>
        <v>69</v>
      </c>
    </row>
    <row r="1628" s="1" customFormat="1" spans="1:6">
      <c r="A1628" s="8" t="str">
        <f>"2020895506"</f>
        <v>2020895506</v>
      </c>
      <c r="B1628" s="9">
        <v>0</v>
      </c>
      <c r="C1628" s="9">
        <f t="shared" si="75"/>
        <v>0</v>
      </c>
      <c r="D1628" s="10">
        <v>0</v>
      </c>
      <c r="E1628" s="9">
        <f t="shared" si="76"/>
        <v>0</v>
      </c>
      <c r="F1628" s="9">
        <f t="shared" si="77"/>
        <v>0</v>
      </c>
    </row>
    <row r="1629" s="1" customFormat="1" spans="1:6">
      <c r="A1629" s="8" t="str">
        <f>"2020895507"</f>
        <v>2020895507</v>
      </c>
      <c r="B1629" s="9">
        <v>82</v>
      </c>
      <c r="C1629" s="9">
        <f t="shared" si="75"/>
        <v>24.6</v>
      </c>
      <c r="D1629" s="10">
        <v>48</v>
      </c>
      <c r="E1629" s="9">
        <f t="shared" si="76"/>
        <v>33.6</v>
      </c>
      <c r="F1629" s="9">
        <f t="shared" si="77"/>
        <v>58.2</v>
      </c>
    </row>
    <row r="1630" s="1" customFormat="1" spans="1:6">
      <c r="A1630" s="8" t="str">
        <f>"2020895508"</f>
        <v>2020895508</v>
      </c>
      <c r="B1630" s="9">
        <v>78</v>
      </c>
      <c r="C1630" s="9">
        <f t="shared" si="75"/>
        <v>23.4</v>
      </c>
      <c r="D1630" s="10">
        <v>70</v>
      </c>
      <c r="E1630" s="9">
        <f t="shared" si="76"/>
        <v>49</v>
      </c>
      <c r="F1630" s="9">
        <f t="shared" si="77"/>
        <v>72.4</v>
      </c>
    </row>
    <row r="1631" s="1" customFormat="1" spans="1:6">
      <c r="A1631" s="8" t="str">
        <f>"2020895509"</f>
        <v>2020895509</v>
      </c>
      <c r="B1631" s="9">
        <v>77</v>
      </c>
      <c r="C1631" s="9">
        <f t="shared" si="75"/>
        <v>23.1</v>
      </c>
      <c r="D1631" s="10">
        <v>66</v>
      </c>
      <c r="E1631" s="9">
        <f t="shared" si="76"/>
        <v>46.2</v>
      </c>
      <c r="F1631" s="9">
        <f t="shared" si="77"/>
        <v>69.3</v>
      </c>
    </row>
    <row r="1632" s="1" customFormat="1" spans="1:6">
      <c r="A1632" s="8" t="str">
        <f>"2020895510"</f>
        <v>2020895510</v>
      </c>
      <c r="B1632" s="9">
        <v>82</v>
      </c>
      <c r="C1632" s="9">
        <f t="shared" si="75"/>
        <v>24.6</v>
      </c>
      <c r="D1632" s="10">
        <v>59</v>
      </c>
      <c r="E1632" s="9">
        <f t="shared" si="76"/>
        <v>41.3</v>
      </c>
      <c r="F1632" s="9">
        <f t="shared" si="77"/>
        <v>65.9</v>
      </c>
    </row>
    <row r="1633" s="1" customFormat="1" spans="1:6">
      <c r="A1633" s="8" t="str">
        <f>"2020895511"</f>
        <v>2020895511</v>
      </c>
      <c r="B1633" s="9">
        <v>0</v>
      </c>
      <c r="C1633" s="9">
        <f t="shared" si="75"/>
        <v>0</v>
      </c>
      <c r="D1633" s="10">
        <v>0</v>
      </c>
      <c r="E1633" s="9">
        <f t="shared" si="76"/>
        <v>0</v>
      </c>
      <c r="F1633" s="9">
        <f t="shared" si="77"/>
        <v>0</v>
      </c>
    </row>
    <row r="1634" s="1" customFormat="1" spans="1:6">
      <c r="A1634" s="8" t="str">
        <f>"2020895512"</f>
        <v>2020895512</v>
      </c>
      <c r="B1634" s="9">
        <v>74</v>
      </c>
      <c r="C1634" s="9">
        <f t="shared" si="75"/>
        <v>22.2</v>
      </c>
      <c r="D1634" s="10">
        <v>64</v>
      </c>
      <c r="E1634" s="9">
        <f t="shared" si="76"/>
        <v>44.8</v>
      </c>
      <c r="F1634" s="9">
        <f t="shared" si="77"/>
        <v>67</v>
      </c>
    </row>
    <row r="1635" s="1" customFormat="1" spans="1:6">
      <c r="A1635" s="8" t="str">
        <f>"2020895513"</f>
        <v>2020895513</v>
      </c>
      <c r="B1635" s="9">
        <v>73</v>
      </c>
      <c r="C1635" s="9">
        <f t="shared" si="75"/>
        <v>21.9</v>
      </c>
      <c r="D1635" s="10">
        <v>60</v>
      </c>
      <c r="E1635" s="9">
        <f t="shared" si="76"/>
        <v>42</v>
      </c>
      <c r="F1635" s="9">
        <f t="shared" si="77"/>
        <v>63.9</v>
      </c>
    </row>
    <row r="1636" s="1" customFormat="1" spans="1:6">
      <c r="A1636" s="8" t="str">
        <f>"2020895514"</f>
        <v>2020895514</v>
      </c>
      <c r="B1636" s="9">
        <v>84</v>
      </c>
      <c r="C1636" s="9">
        <f t="shared" si="75"/>
        <v>25.2</v>
      </c>
      <c r="D1636" s="10">
        <v>78</v>
      </c>
      <c r="E1636" s="9">
        <f t="shared" si="76"/>
        <v>54.6</v>
      </c>
      <c r="F1636" s="9">
        <f t="shared" si="77"/>
        <v>79.8</v>
      </c>
    </row>
    <row r="1637" s="1" customFormat="1" spans="1:6">
      <c r="A1637" s="8" t="str">
        <f>"2020895515"</f>
        <v>2020895515</v>
      </c>
      <c r="B1637" s="9">
        <v>76</v>
      </c>
      <c r="C1637" s="9">
        <f t="shared" si="75"/>
        <v>22.8</v>
      </c>
      <c r="D1637" s="10">
        <v>63</v>
      </c>
      <c r="E1637" s="9">
        <f t="shared" si="76"/>
        <v>44.1</v>
      </c>
      <c r="F1637" s="9">
        <f t="shared" si="77"/>
        <v>66.9</v>
      </c>
    </row>
    <row r="1638" s="1" customFormat="1" spans="1:6">
      <c r="A1638" s="8" t="str">
        <f>"2020895516"</f>
        <v>2020895516</v>
      </c>
      <c r="B1638" s="9">
        <v>81</v>
      </c>
      <c r="C1638" s="9">
        <f t="shared" si="75"/>
        <v>24.3</v>
      </c>
      <c r="D1638" s="10">
        <v>60</v>
      </c>
      <c r="E1638" s="9">
        <f t="shared" si="76"/>
        <v>42</v>
      </c>
      <c r="F1638" s="9">
        <f t="shared" si="77"/>
        <v>66.3</v>
      </c>
    </row>
    <row r="1639" s="1" customFormat="1" spans="1:6">
      <c r="A1639" s="8" t="str">
        <f>"2020895517"</f>
        <v>2020895517</v>
      </c>
      <c r="B1639" s="9">
        <v>0</v>
      </c>
      <c r="C1639" s="9">
        <f t="shared" si="75"/>
        <v>0</v>
      </c>
      <c r="D1639" s="10">
        <v>0</v>
      </c>
      <c r="E1639" s="9">
        <f t="shared" si="76"/>
        <v>0</v>
      </c>
      <c r="F1639" s="9">
        <f t="shared" si="77"/>
        <v>0</v>
      </c>
    </row>
    <row r="1640" s="1" customFormat="1" spans="1:6">
      <c r="A1640" s="8" t="str">
        <f>"2020895518"</f>
        <v>2020895518</v>
      </c>
      <c r="B1640" s="9">
        <v>73</v>
      </c>
      <c r="C1640" s="9">
        <f t="shared" si="75"/>
        <v>21.9</v>
      </c>
      <c r="D1640" s="10">
        <v>50</v>
      </c>
      <c r="E1640" s="9">
        <f t="shared" si="76"/>
        <v>35</v>
      </c>
      <c r="F1640" s="9">
        <f t="shared" si="77"/>
        <v>56.9</v>
      </c>
    </row>
    <row r="1641" s="1" customFormat="1" spans="1:6">
      <c r="A1641" s="8" t="str">
        <f>"2020895519"</f>
        <v>2020895519</v>
      </c>
      <c r="B1641" s="9">
        <v>76</v>
      </c>
      <c r="C1641" s="9">
        <f t="shared" si="75"/>
        <v>22.8</v>
      </c>
      <c r="D1641" s="10">
        <v>67</v>
      </c>
      <c r="E1641" s="9">
        <f t="shared" si="76"/>
        <v>46.9</v>
      </c>
      <c r="F1641" s="9">
        <f t="shared" si="77"/>
        <v>69.7</v>
      </c>
    </row>
    <row r="1642" s="1" customFormat="1" spans="1:6">
      <c r="A1642" s="8" t="str">
        <f>"2020895520"</f>
        <v>2020895520</v>
      </c>
      <c r="B1642" s="9">
        <v>74</v>
      </c>
      <c r="C1642" s="9">
        <f t="shared" si="75"/>
        <v>22.2</v>
      </c>
      <c r="D1642" s="10">
        <v>73</v>
      </c>
      <c r="E1642" s="9">
        <f t="shared" si="76"/>
        <v>51.1</v>
      </c>
      <c r="F1642" s="9">
        <f t="shared" si="77"/>
        <v>73.3</v>
      </c>
    </row>
    <row r="1643" s="1" customFormat="1" spans="1:6">
      <c r="A1643" s="8" t="str">
        <f>"2020895521"</f>
        <v>2020895521</v>
      </c>
      <c r="B1643" s="9">
        <v>82</v>
      </c>
      <c r="C1643" s="9">
        <f t="shared" si="75"/>
        <v>24.6</v>
      </c>
      <c r="D1643" s="10">
        <v>64</v>
      </c>
      <c r="E1643" s="9">
        <f t="shared" si="76"/>
        <v>44.8</v>
      </c>
      <c r="F1643" s="9">
        <f t="shared" si="77"/>
        <v>69.4</v>
      </c>
    </row>
    <row r="1644" s="1" customFormat="1" spans="1:6">
      <c r="A1644" s="8" t="str">
        <f>"2020895522"</f>
        <v>2020895522</v>
      </c>
      <c r="B1644" s="9">
        <v>73</v>
      </c>
      <c r="C1644" s="9">
        <f t="shared" si="75"/>
        <v>21.9</v>
      </c>
      <c r="D1644" s="10">
        <v>71</v>
      </c>
      <c r="E1644" s="9">
        <f t="shared" si="76"/>
        <v>49.7</v>
      </c>
      <c r="F1644" s="9">
        <f t="shared" si="77"/>
        <v>71.6</v>
      </c>
    </row>
    <row r="1645" s="1" customFormat="1" spans="1:6">
      <c r="A1645" s="8" t="str">
        <f>"2020895523"</f>
        <v>2020895523</v>
      </c>
      <c r="B1645" s="9">
        <v>78</v>
      </c>
      <c r="C1645" s="9">
        <f t="shared" si="75"/>
        <v>23.4</v>
      </c>
      <c r="D1645" s="10">
        <v>70</v>
      </c>
      <c r="E1645" s="9">
        <f t="shared" si="76"/>
        <v>49</v>
      </c>
      <c r="F1645" s="9">
        <f t="shared" si="77"/>
        <v>72.4</v>
      </c>
    </row>
    <row r="1646" s="1" customFormat="1" spans="1:6">
      <c r="A1646" s="8" t="str">
        <f>"2020895524"</f>
        <v>2020895524</v>
      </c>
      <c r="B1646" s="9">
        <v>84</v>
      </c>
      <c r="C1646" s="9">
        <f t="shared" si="75"/>
        <v>25.2</v>
      </c>
      <c r="D1646" s="10">
        <v>68</v>
      </c>
      <c r="E1646" s="9">
        <f t="shared" si="76"/>
        <v>47.6</v>
      </c>
      <c r="F1646" s="9">
        <f t="shared" si="77"/>
        <v>72.8</v>
      </c>
    </row>
    <row r="1647" s="1" customFormat="1" spans="1:6">
      <c r="A1647" s="8" t="str">
        <f>"2020895525"</f>
        <v>2020895525</v>
      </c>
      <c r="B1647" s="9">
        <v>80</v>
      </c>
      <c r="C1647" s="9">
        <f t="shared" si="75"/>
        <v>24</v>
      </c>
      <c r="D1647" s="10">
        <v>80</v>
      </c>
      <c r="E1647" s="9">
        <f t="shared" si="76"/>
        <v>56</v>
      </c>
      <c r="F1647" s="9">
        <f t="shared" si="77"/>
        <v>80</v>
      </c>
    </row>
    <row r="1648" s="1" customFormat="1" spans="1:6">
      <c r="A1648" s="8" t="str">
        <f>"2020895526"</f>
        <v>2020895526</v>
      </c>
      <c r="B1648" s="9">
        <v>82</v>
      </c>
      <c r="C1648" s="9">
        <f t="shared" si="75"/>
        <v>24.6</v>
      </c>
      <c r="D1648" s="10">
        <v>70</v>
      </c>
      <c r="E1648" s="9">
        <f t="shared" si="76"/>
        <v>49</v>
      </c>
      <c r="F1648" s="9">
        <f t="shared" si="77"/>
        <v>73.6</v>
      </c>
    </row>
    <row r="1649" s="1" customFormat="1" spans="1:6">
      <c r="A1649" s="8" t="str">
        <f>"2020895527"</f>
        <v>2020895527</v>
      </c>
      <c r="B1649" s="9">
        <v>82</v>
      </c>
      <c r="C1649" s="9">
        <f t="shared" si="75"/>
        <v>24.6</v>
      </c>
      <c r="D1649" s="10">
        <v>69</v>
      </c>
      <c r="E1649" s="9">
        <f t="shared" si="76"/>
        <v>48.3</v>
      </c>
      <c r="F1649" s="9">
        <f t="shared" si="77"/>
        <v>72.9</v>
      </c>
    </row>
    <row r="1650" s="1" customFormat="1" spans="1:6">
      <c r="A1650" s="8" t="str">
        <f>"2020895528"</f>
        <v>2020895528</v>
      </c>
      <c r="B1650" s="9">
        <v>76</v>
      </c>
      <c r="C1650" s="9">
        <f t="shared" si="75"/>
        <v>22.8</v>
      </c>
      <c r="D1650" s="10">
        <v>79</v>
      </c>
      <c r="E1650" s="9">
        <f t="shared" si="76"/>
        <v>55.3</v>
      </c>
      <c r="F1650" s="9">
        <f t="shared" si="77"/>
        <v>78.1</v>
      </c>
    </row>
    <row r="1651" s="1" customFormat="1" spans="1:6">
      <c r="A1651" s="8" t="str">
        <f>"2020895529"</f>
        <v>2020895529</v>
      </c>
      <c r="B1651" s="9">
        <v>79</v>
      </c>
      <c r="C1651" s="9">
        <f t="shared" si="75"/>
        <v>23.7</v>
      </c>
      <c r="D1651" s="10">
        <v>69</v>
      </c>
      <c r="E1651" s="9">
        <f t="shared" si="76"/>
        <v>48.3</v>
      </c>
      <c r="F1651" s="9">
        <f t="shared" si="77"/>
        <v>72</v>
      </c>
    </row>
    <row r="1652" s="1" customFormat="1" spans="1:6">
      <c r="A1652" s="8" t="str">
        <f>"2020895530"</f>
        <v>2020895530</v>
      </c>
      <c r="B1652" s="9">
        <v>77</v>
      </c>
      <c r="C1652" s="9">
        <f t="shared" si="75"/>
        <v>23.1</v>
      </c>
      <c r="D1652" s="10">
        <v>58</v>
      </c>
      <c r="E1652" s="9">
        <f t="shared" si="76"/>
        <v>40.6</v>
      </c>
      <c r="F1652" s="9">
        <f t="shared" si="77"/>
        <v>63.7</v>
      </c>
    </row>
    <row r="1653" s="1" customFormat="1" spans="1:6">
      <c r="A1653" s="8" t="str">
        <f>"2020895601"</f>
        <v>2020895601</v>
      </c>
      <c r="B1653" s="9">
        <v>0</v>
      </c>
      <c r="C1653" s="9">
        <f t="shared" si="75"/>
        <v>0</v>
      </c>
      <c r="D1653" s="10">
        <v>0</v>
      </c>
      <c r="E1653" s="9">
        <f t="shared" si="76"/>
        <v>0</v>
      </c>
      <c r="F1653" s="9">
        <f t="shared" si="77"/>
        <v>0</v>
      </c>
    </row>
    <row r="1654" s="1" customFormat="1" spans="1:6">
      <c r="A1654" s="8" t="str">
        <f>"2020895602"</f>
        <v>2020895602</v>
      </c>
      <c r="B1654" s="9">
        <v>80</v>
      </c>
      <c r="C1654" s="9">
        <f t="shared" si="75"/>
        <v>24</v>
      </c>
      <c r="D1654" s="10">
        <v>71</v>
      </c>
      <c r="E1654" s="9">
        <f t="shared" si="76"/>
        <v>49.7</v>
      </c>
      <c r="F1654" s="9">
        <f t="shared" si="77"/>
        <v>73.7</v>
      </c>
    </row>
    <row r="1655" s="1" customFormat="1" spans="1:6">
      <c r="A1655" s="8" t="str">
        <f>"2020895603"</f>
        <v>2020895603</v>
      </c>
      <c r="B1655" s="9">
        <v>88</v>
      </c>
      <c r="C1655" s="9">
        <f t="shared" si="75"/>
        <v>26.4</v>
      </c>
      <c r="D1655" s="10">
        <v>77</v>
      </c>
      <c r="E1655" s="9">
        <f t="shared" si="76"/>
        <v>53.9</v>
      </c>
      <c r="F1655" s="9">
        <f t="shared" si="77"/>
        <v>80.3</v>
      </c>
    </row>
    <row r="1656" s="1" customFormat="1" spans="1:6">
      <c r="A1656" s="8" t="str">
        <f>"2020895604"</f>
        <v>2020895604</v>
      </c>
      <c r="B1656" s="9">
        <v>74</v>
      </c>
      <c r="C1656" s="9">
        <f t="shared" si="75"/>
        <v>22.2</v>
      </c>
      <c r="D1656" s="10">
        <v>67</v>
      </c>
      <c r="E1656" s="9">
        <f t="shared" si="76"/>
        <v>46.9</v>
      </c>
      <c r="F1656" s="9">
        <f t="shared" si="77"/>
        <v>69.1</v>
      </c>
    </row>
    <row r="1657" s="1" customFormat="1" spans="1:6">
      <c r="A1657" s="8" t="str">
        <f>"2020895605"</f>
        <v>2020895605</v>
      </c>
      <c r="B1657" s="9">
        <v>80</v>
      </c>
      <c r="C1657" s="9">
        <f t="shared" si="75"/>
        <v>24</v>
      </c>
      <c r="D1657" s="10">
        <v>50</v>
      </c>
      <c r="E1657" s="9">
        <f t="shared" si="76"/>
        <v>35</v>
      </c>
      <c r="F1657" s="9">
        <f t="shared" si="77"/>
        <v>59</v>
      </c>
    </row>
    <row r="1658" s="1" customFormat="1" spans="1:6">
      <c r="A1658" s="8" t="str">
        <f>"2020895606"</f>
        <v>2020895606</v>
      </c>
      <c r="B1658" s="9">
        <v>88</v>
      </c>
      <c r="C1658" s="9">
        <f t="shared" si="75"/>
        <v>26.4</v>
      </c>
      <c r="D1658" s="10">
        <v>63</v>
      </c>
      <c r="E1658" s="9">
        <f t="shared" si="76"/>
        <v>44.1</v>
      </c>
      <c r="F1658" s="9">
        <f t="shared" si="77"/>
        <v>70.5</v>
      </c>
    </row>
    <row r="1659" s="1" customFormat="1" spans="1:6">
      <c r="A1659" s="8" t="str">
        <f>"2020895607"</f>
        <v>2020895607</v>
      </c>
      <c r="B1659" s="9">
        <v>73</v>
      </c>
      <c r="C1659" s="9">
        <f t="shared" si="75"/>
        <v>21.9</v>
      </c>
      <c r="D1659" s="10">
        <v>66</v>
      </c>
      <c r="E1659" s="9">
        <f t="shared" si="76"/>
        <v>46.2</v>
      </c>
      <c r="F1659" s="9">
        <f t="shared" si="77"/>
        <v>68.1</v>
      </c>
    </row>
    <row r="1660" s="1" customFormat="1" spans="1:6">
      <c r="A1660" s="8" t="str">
        <f>"2020895608"</f>
        <v>2020895608</v>
      </c>
      <c r="B1660" s="9">
        <v>84</v>
      </c>
      <c r="C1660" s="9">
        <f t="shared" si="75"/>
        <v>25.2</v>
      </c>
      <c r="D1660" s="10">
        <v>54</v>
      </c>
      <c r="E1660" s="9">
        <f t="shared" si="76"/>
        <v>37.8</v>
      </c>
      <c r="F1660" s="9">
        <f t="shared" si="77"/>
        <v>63</v>
      </c>
    </row>
    <row r="1661" s="1" customFormat="1" spans="1:6">
      <c r="A1661" s="8" t="str">
        <f>"2020895609"</f>
        <v>2020895609</v>
      </c>
      <c r="B1661" s="9">
        <v>69</v>
      </c>
      <c r="C1661" s="9">
        <f t="shared" si="75"/>
        <v>20.7</v>
      </c>
      <c r="D1661" s="10">
        <v>64</v>
      </c>
      <c r="E1661" s="9">
        <f t="shared" si="76"/>
        <v>44.8</v>
      </c>
      <c r="F1661" s="9">
        <f t="shared" si="77"/>
        <v>65.5</v>
      </c>
    </row>
    <row r="1662" s="1" customFormat="1" spans="1:6">
      <c r="A1662" s="8" t="str">
        <f>"2020895610"</f>
        <v>2020895610</v>
      </c>
      <c r="B1662" s="9">
        <v>75</v>
      </c>
      <c r="C1662" s="9">
        <f t="shared" si="75"/>
        <v>22.5</v>
      </c>
      <c r="D1662" s="10">
        <v>69</v>
      </c>
      <c r="E1662" s="9">
        <f t="shared" si="76"/>
        <v>48.3</v>
      </c>
      <c r="F1662" s="9">
        <f t="shared" si="77"/>
        <v>70.8</v>
      </c>
    </row>
    <row r="1663" s="1" customFormat="1" spans="1:6">
      <c r="A1663" s="8" t="str">
        <f>"2020895611"</f>
        <v>2020895611</v>
      </c>
      <c r="B1663" s="9">
        <v>0</v>
      </c>
      <c r="C1663" s="9">
        <f t="shared" si="75"/>
        <v>0</v>
      </c>
      <c r="D1663" s="10">
        <v>0</v>
      </c>
      <c r="E1663" s="9">
        <f t="shared" si="76"/>
        <v>0</v>
      </c>
      <c r="F1663" s="9">
        <f t="shared" si="77"/>
        <v>0</v>
      </c>
    </row>
    <row r="1664" s="1" customFormat="1" spans="1:6">
      <c r="A1664" s="8" t="str">
        <f>"2020895612"</f>
        <v>2020895612</v>
      </c>
      <c r="B1664" s="9">
        <v>74</v>
      </c>
      <c r="C1664" s="9">
        <f t="shared" si="75"/>
        <v>22.2</v>
      </c>
      <c r="D1664" s="10">
        <v>62</v>
      </c>
      <c r="E1664" s="9">
        <f t="shared" si="76"/>
        <v>43.4</v>
      </c>
      <c r="F1664" s="9">
        <f t="shared" si="77"/>
        <v>65.6</v>
      </c>
    </row>
    <row r="1665" s="1" customFormat="1" spans="1:6">
      <c r="A1665" s="8" t="str">
        <f>"2020895613"</f>
        <v>2020895613</v>
      </c>
      <c r="B1665" s="9">
        <v>82</v>
      </c>
      <c r="C1665" s="9">
        <f t="shared" si="75"/>
        <v>24.6</v>
      </c>
      <c r="D1665" s="10">
        <v>68</v>
      </c>
      <c r="E1665" s="9">
        <f t="shared" si="76"/>
        <v>47.6</v>
      </c>
      <c r="F1665" s="9">
        <f t="shared" si="77"/>
        <v>72.2</v>
      </c>
    </row>
    <row r="1666" s="1" customFormat="1" spans="1:6">
      <c r="A1666" s="8" t="str">
        <f>"2020895614"</f>
        <v>2020895614</v>
      </c>
      <c r="B1666" s="9">
        <v>82</v>
      </c>
      <c r="C1666" s="9">
        <f t="shared" si="75"/>
        <v>24.6</v>
      </c>
      <c r="D1666" s="10">
        <v>71</v>
      </c>
      <c r="E1666" s="9">
        <f t="shared" si="76"/>
        <v>49.7</v>
      </c>
      <c r="F1666" s="9">
        <f t="shared" si="77"/>
        <v>74.3</v>
      </c>
    </row>
    <row r="1667" s="1" customFormat="1" spans="1:6">
      <c r="A1667" s="8" t="str">
        <f>"2020895615"</f>
        <v>2020895615</v>
      </c>
      <c r="B1667" s="9">
        <v>86</v>
      </c>
      <c r="C1667" s="9">
        <f t="shared" ref="C1667:C1713" si="78">B1667*0.3</f>
        <v>25.8</v>
      </c>
      <c r="D1667" s="10">
        <v>60</v>
      </c>
      <c r="E1667" s="9">
        <f t="shared" ref="E1667:E1713" si="79">D1667*0.7</f>
        <v>42</v>
      </c>
      <c r="F1667" s="9">
        <f t="shared" ref="F1667:F1713" si="80">C1667+E1667</f>
        <v>67.8</v>
      </c>
    </row>
    <row r="1668" s="1" customFormat="1" spans="1:6">
      <c r="A1668" s="8" t="str">
        <f>"2020895616"</f>
        <v>2020895616</v>
      </c>
      <c r="B1668" s="9">
        <v>84</v>
      </c>
      <c r="C1668" s="9">
        <f t="shared" si="78"/>
        <v>25.2</v>
      </c>
      <c r="D1668" s="10">
        <v>72</v>
      </c>
      <c r="E1668" s="9">
        <f t="shared" si="79"/>
        <v>50.4</v>
      </c>
      <c r="F1668" s="9">
        <f t="shared" si="80"/>
        <v>75.6</v>
      </c>
    </row>
    <row r="1669" s="1" customFormat="1" spans="1:6">
      <c r="A1669" s="8" t="str">
        <f>"2020895617"</f>
        <v>2020895617</v>
      </c>
      <c r="B1669" s="9">
        <v>82</v>
      </c>
      <c r="C1669" s="9">
        <f t="shared" si="78"/>
        <v>24.6</v>
      </c>
      <c r="D1669" s="10">
        <v>67</v>
      </c>
      <c r="E1669" s="9">
        <f t="shared" si="79"/>
        <v>46.9</v>
      </c>
      <c r="F1669" s="9">
        <f t="shared" si="80"/>
        <v>71.5</v>
      </c>
    </row>
    <row r="1670" s="1" customFormat="1" spans="1:6">
      <c r="A1670" s="8" t="str">
        <f>"2020895618"</f>
        <v>2020895618</v>
      </c>
      <c r="B1670" s="9">
        <v>0</v>
      </c>
      <c r="C1670" s="9">
        <f t="shared" si="78"/>
        <v>0</v>
      </c>
      <c r="D1670" s="10">
        <v>0</v>
      </c>
      <c r="E1670" s="9">
        <f t="shared" si="79"/>
        <v>0</v>
      </c>
      <c r="F1670" s="9">
        <f t="shared" si="80"/>
        <v>0</v>
      </c>
    </row>
    <row r="1671" s="1" customFormat="1" spans="1:6">
      <c r="A1671" s="8" t="str">
        <f>"2020895619"</f>
        <v>2020895619</v>
      </c>
      <c r="B1671" s="9">
        <v>80</v>
      </c>
      <c r="C1671" s="9">
        <f t="shared" si="78"/>
        <v>24</v>
      </c>
      <c r="D1671" s="10">
        <v>54</v>
      </c>
      <c r="E1671" s="9">
        <f t="shared" si="79"/>
        <v>37.8</v>
      </c>
      <c r="F1671" s="9">
        <f t="shared" si="80"/>
        <v>61.8</v>
      </c>
    </row>
    <row r="1672" s="1" customFormat="1" spans="1:6">
      <c r="A1672" s="8" t="str">
        <f>"2020895620"</f>
        <v>2020895620</v>
      </c>
      <c r="B1672" s="9">
        <v>80</v>
      </c>
      <c r="C1672" s="9">
        <f t="shared" si="78"/>
        <v>24</v>
      </c>
      <c r="D1672" s="10">
        <v>61</v>
      </c>
      <c r="E1672" s="9">
        <f t="shared" si="79"/>
        <v>42.7</v>
      </c>
      <c r="F1672" s="9">
        <f t="shared" si="80"/>
        <v>66.7</v>
      </c>
    </row>
    <row r="1673" s="1" customFormat="1" spans="1:6">
      <c r="A1673" s="8" t="str">
        <f>"2020895621"</f>
        <v>2020895621</v>
      </c>
      <c r="B1673" s="9">
        <v>85</v>
      </c>
      <c r="C1673" s="9">
        <f t="shared" si="78"/>
        <v>25.5</v>
      </c>
      <c r="D1673" s="10">
        <v>71</v>
      </c>
      <c r="E1673" s="9">
        <f t="shared" si="79"/>
        <v>49.7</v>
      </c>
      <c r="F1673" s="9">
        <f t="shared" si="80"/>
        <v>75.2</v>
      </c>
    </row>
    <row r="1674" s="1" customFormat="1" spans="1:6">
      <c r="A1674" s="8" t="str">
        <f>"2020895622"</f>
        <v>2020895622</v>
      </c>
      <c r="B1674" s="9">
        <v>85</v>
      </c>
      <c r="C1674" s="9">
        <f t="shared" si="78"/>
        <v>25.5</v>
      </c>
      <c r="D1674" s="10">
        <v>46</v>
      </c>
      <c r="E1674" s="9">
        <f t="shared" si="79"/>
        <v>32.2</v>
      </c>
      <c r="F1674" s="9">
        <f t="shared" si="80"/>
        <v>57.7</v>
      </c>
    </row>
    <row r="1675" s="1" customFormat="1" spans="1:6">
      <c r="A1675" s="8" t="str">
        <f>"2020895623"</f>
        <v>2020895623</v>
      </c>
      <c r="B1675" s="9">
        <v>70</v>
      </c>
      <c r="C1675" s="9">
        <f t="shared" si="78"/>
        <v>21</v>
      </c>
      <c r="D1675" s="10">
        <v>40</v>
      </c>
      <c r="E1675" s="9">
        <f t="shared" si="79"/>
        <v>28</v>
      </c>
      <c r="F1675" s="9">
        <f t="shared" si="80"/>
        <v>49</v>
      </c>
    </row>
    <row r="1676" s="1" customFormat="1" spans="1:6">
      <c r="A1676" s="8" t="str">
        <f>"2020895624"</f>
        <v>2020895624</v>
      </c>
      <c r="B1676" s="9">
        <v>71</v>
      </c>
      <c r="C1676" s="9">
        <f t="shared" si="78"/>
        <v>21.3</v>
      </c>
      <c r="D1676" s="10">
        <v>48</v>
      </c>
      <c r="E1676" s="9">
        <f t="shared" si="79"/>
        <v>33.6</v>
      </c>
      <c r="F1676" s="9">
        <f t="shared" si="80"/>
        <v>54.9</v>
      </c>
    </row>
    <row r="1677" s="1" customFormat="1" spans="1:6">
      <c r="A1677" s="8" t="str">
        <f>"2020895625"</f>
        <v>2020895625</v>
      </c>
      <c r="B1677" s="9">
        <v>0</v>
      </c>
      <c r="C1677" s="9">
        <f t="shared" si="78"/>
        <v>0</v>
      </c>
      <c r="D1677" s="10">
        <v>0</v>
      </c>
      <c r="E1677" s="9">
        <f t="shared" si="79"/>
        <v>0</v>
      </c>
      <c r="F1677" s="9">
        <f t="shared" si="80"/>
        <v>0</v>
      </c>
    </row>
    <row r="1678" s="1" customFormat="1" spans="1:6">
      <c r="A1678" s="8" t="str">
        <f>"2020895626"</f>
        <v>2020895626</v>
      </c>
      <c r="B1678" s="9">
        <v>0</v>
      </c>
      <c r="C1678" s="9">
        <f t="shared" si="78"/>
        <v>0</v>
      </c>
      <c r="D1678" s="10">
        <v>0</v>
      </c>
      <c r="E1678" s="9">
        <f t="shared" si="79"/>
        <v>0</v>
      </c>
      <c r="F1678" s="9">
        <f t="shared" si="80"/>
        <v>0</v>
      </c>
    </row>
    <row r="1679" s="1" customFormat="1" spans="1:6">
      <c r="A1679" s="8" t="str">
        <f>"2020895627"</f>
        <v>2020895627</v>
      </c>
      <c r="B1679" s="9">
        <v>0</v>
      </c>
      <c r="C1679" s="9">
        <f t="shared" si="78"/>
        <v>0</v>
      </c>
      <c r="D1679" s="10">
        <v>0</v>
      </c>
      <c r="E1679" s="9">
        <f t="shared" si="79"/>
        <v>0</v>
      </c>
      <c r="F1679" s="9">
        <f t="shared" si="80"/>
        <v>0</v>
      </c>
    </row>
    <row r="1680" s="1" customFormat="1" spans="1:6">
      <c r="A1680" s="8" t="str">
        <f>"2020895628"</f>
        <v>2020895628</v>
      </c>
      <c r="B1680" s="9">
        <v>80</v>
      </c>
      <c r="C1680" s="9">
        <f t="shared" si="78"/>
        <v>24</v>
      </c>
      <c r="D1680" s="10">
        <v>41</v>
      </c>
      <c r="E1680" s="9">
        <f t="shared" si="79"/>
        <v>28.7</v>
      </c>
      <c r="F1680" s="9">
        <f t="shared" si="80"/>
        <v>52.7</v>
      </c>
    </row>
    <row r="1681" s="1" customFormat="1" spans="1:6">
      <c r="A1681" s="8" t="str">
        <f>"2020895629"</f>
        <v>2020895629</v>
      </c>
      <c r="B1681" s="9">
        <v>0</v>
      </c>
      <c r="C1681" s="9">
        <f t="shared" si="78"/>
        <v>0</v>
      </c>
      <c r="D1681" s="10">
        <v>0</v>
      </c>
      <c r="E1681" s="9">
        <f t="shared" si="79"/>
        <v>0</v>
      </c>
      <c r="F1681" s="9">
        <f t="shared" si="80"/>
        <v>0</v>
      </c>
    </row>
    <row r="1682" s="1" customFormat="1" spans="1:6">
      <c r="A1682" s="8" t="str">
        <f>"2020895630"</f>
        <v>2020895630</v>
      </c>
      <c r="B1682" s="9">
        <v>83</v>
      </c>
      <c r="C1682" s="9">
        <f t="shared" si="78"/>
        <v>24.9</v>
      </c>
      <c r="D1682" s="10">
        <v>29</v>
      </c>
      <c r="E1682" s="9">
        <f t="shared" si="79"/>
        <v>20.3</v>
      </c>
      <c r="F1682" s="9">
        <f t="shared" si="80"/>
        <v>45.2</v>
      </c>
    </row>
    <row r="1683" s="1" customFormat="1" spans="1:6">
      <c r="A1683" s="8" t="str">
        <f>"2020895631"</f>
        <v>2020895631</v>
      </c>
      <c r="B1683" s="9">
        <v>0</v>
      </c>
      <c r="C1683" s="9">
        <f t="shared" si="78"/>
        <v>0</v>
      </c>
      <c r="D1683" s="10">
        <v>0</v>
      </c>
      <c r="E1683" s="9">
        <f t="shared" si="79"/>
        <v>0</v>
      </c>
      <c r="F1683" s="9">
        <f t="shared" si="80"/>
        <v>0</v>
      </c>
    </row>
    <row r="1684" s="1" customFormat="1" spans="1:6">
      <c r="A1684" s="8" t="str">
        <f>"2020895701"</f>
        <v>2020895701</v>
      </c>
      <c r="B1684" s="9">
        <v>78</v>
      </c>
      <c r="C1684" s="9">
        <f t="shared" si="78"/>
        <v>23.4</v>
      </c>
      <c r="D1684" s="10">
        <v>55</v>
      </c>
      <c r="E1684" s="9">
        <f t="shared" si="79"/>
        <v>38.5</v>
      </c>
      <c r="F1684" s="9">
        <f t="shared" si="80"/>
        <v>61.9</v>
      </c>
    </row>
    <row r="1685" s="1" customFormat="1" spans="1:6">
      <c r="A1685" s="8" t="str">
        <f>"2020895702"</f>
        <v>2020895702</v>
      </c>
      <c r="B1685" s="9">
        <v>72</v>
      </c>
      <c r="C1685" s="9">
        <f t="shared" si="78"/>
        <v>21.6</v>
      </c>
      <c r="D1685" s="10">
        <v>64</v>
      </c>
      <c r="E1685" s="9">
        <f t="shared" si="79"/>
        <v>44.8</v>
      </c>
      <c r="F1685" s="9">
        <f t="shared" si="80"/>
        <v>66.4</v>
      </c>
    </row>
    <row r="1686" s="1" customFormat="1" spans="1:6">
      <c r="A1686" s="8" t="str">
        <f>"2020895703"</f>
        <v>2020895703</v>
      </c>
      <c r="B1686" s="9">
        <v>0</v>
      </c>
      <c r="C1686" s="9">
        <f t="shared" si="78"/>
        <v>0</v>
      </c>
      <c r="D1686" s="10">
        <v>0</v>
      </c>
      <c r="E1686" s="9">
        <f t="shared" si="79"/>
        <v>0</v>
      </c>
      <c r="F1686" s="9">
        <f t="shared" si="80"/>
        <v>0</v>
      </c>
    </row>
    <row r="1687" s="1" customFormat="1" spans="1:6">
      <c r="A1687" s="8" t="str">
        <f>"2020895704"</f>
        <v>2020895704</v>
      </c>
      <c r="B1687" s="9">
        <v>80</v>
      </c>
      <c r="C1687" s="9">
        <f t="shared" si="78"/>
        <v>24</v>
      </c>
      <c r="D1687" s="10">
        <v>69</v>
      </c>
      <c r="E1687" s="9">
        <f t="shared" si="79"/>
        <v>48.3</v>
      </c>
      <c r="F1687" s="9">
        <f t="shared" si="80"/>
        <v>72.3</v>
      </c>
    </row>
    <row r="1688" s="1" customFormat="1" spans="1:6">
      <c r="A1688" s="8" t="str">
        <f>"2020895705"</f>
        <v>2020895705</v>
      </c>
      <c r="B1688" s="9">
        <v>83</v>
      </c>
      <c r="C1688" s="9">
        <f t="shared" si="78"/>
        <v>24.9</v>
      </c>
      <c r="D1688" s="10">
        <v>72</v>
      </c>
      <c r="E1688" s="9">
        <f t="shared" si="79"/>
        <v>50.4</v>
      </c>
      <c r="F1688" s="9">
        <f t="shared" si="80"/>
        <v>75.3</v>
      </c>
    </row>
    <row r="1689" s="1" customFormat="1" spans="1:6">
      <c r="A1689" s="8" t="str">
        <f>"2020895706"</f>
        <v>2020895706</v>
      </c>
      <c r="B1689" s="9">
        <v>67</v>
      </c>
      <c r="C1689" s="9">
        <f t="shared" si="78"/>
        <v>20.1</v>
      </c>
      <c r="D1689" s="10">
        <v>35</v>
      </c>
      <c r="E1689" s="9">
        <f t="shared" si="79"/>
        <v>24.5</v>
      </c>
      <c r="F1689" s="9">
        <f t="shared" si="80"/>
        <v>44.6</v>
      </c>
    </row>
    <row r="1690" s="1" customFormat="1" spans="1:6">
      <c r="A1690" s="8" t="str">
        <f>"2020895707"</f>
        <v>2020895707</v>
      </c>
      <c r="B1690" s="9">
        <v>87</v>
      </c>
      <c r="C1690" s="9">
        <f t="shared" si="78"/>
        <v>26.1</v>
      </c>
      <c r="D1690" s="10">
        <v>64</v>
      </c>
      <c r="E1690" s="9">
        <f t="shared" si="79"/>
        <v>44.8</v>
      </c>
      <c r="F1690" s="9">
        <f t="shared" si="80"/>
        <v>70.9</v>
      </c>
    </row>
    <row r="1691" s="1" customFormat="1" spans="1:6">
      <c r="A1691" s="8" t="str">
        <f>"2020895708"</f>
        <v>2020895708</v>
      </c>
      <c r="B1691" s="9">
        <v>83</v>
      </c>
      <c r="C1691" s="9">
        <f t="shared" si="78"/>
        <v>24.9</v>
      </c>
      <c r="D1691" s="10">
        <v>69</v>
      </c>
      <c r="E1691" s="9">
        <f t="shared" si="79"/>
        <v>48.3</v>
      </c>
      <c r="F1691" s="9">
        <f t="shared" si="80"/>
        <v>73.2</v>
      </c>
    </row>
    <row r="1692" s="1" customFormat="1" spans="1:6">
      <c r="A1692" s="8" t="str">
        <f>"2020895709"</f>
        <v>2020895709</v>
      </c>
      <c r="B1692" s="9">
        <v>83</v>
      </c>
      <c r="C1692" s="9">
        <f t="shared" si="78"/>
        <v>24.9</v>
      </c>
      <c r="D1692" s="10">
        <v>61</v>
      </c>
      <c r="E1692" s="9">
        <f t="shared" si="79"/>
        <v>42.7</v>
      </c>
      <c r="F1692" s="9">
        <f t="shared" si="80"/>
        <v>67.6</v>
      </c>
    </row>
    <row r="1693" s="1" customFormat="1" spans="1:6">
      <c r="A1693" s="8" t="str">
        <f>"2020895710"</f>
        <v>2020895710</v>
      </c>
      <c r="B1693" s="9">
        <v>80</v>
      </c>
      <c r="C1693" s="9">
        <f t="shared" si="78"/>
        <v>24</v>
      </c>
      <c r="D1693" s="10">
        <v>55</v>
      </c>
      <c r="E1693" s="9">
        <f t="shared" si="79"/>
        <v>38.5</v>
      </c>
      <c r="F1693" s="9">
        <f t="shared" si="80"/>
        <v>62.5</v>
      </c>
    </row>
    <row r="1694" s="1" customFormat="1" spans="1:6">
      <c r="A1694" s="8" t="str">
        <f>"2020895711"</f>
        <v>2020895711</v>
      </c>
      <c r="B1694" s="9">
        <v>81</v>
      </c>
      <c r="C1694" s="9">
        <f t="shared" si="78"/>
        <v>24.3</v>
      </c>
      <c r="D1694" s="10">
        <v>80</v>
      </c>
      <c r="E1694" s="9">
        <f t="shared" si="79"/>
        <v>56</v>
      </c>
      <c r="F1694" s="9">
        <f t="shared" si="80"/>
        <v>80.3</v>
      </c>
    </row>
    <row r="1695" s="1" customFormat="1" spans="1:6">
      <c r="A1695" s="8" t="str">
        <f>"2020895712"</f>
        <v>2020895712</v>
      </c>
      <c r="B1695" s="9">
        <v>0</v>
      </c>
      <c r="C1695" s="9">
        <f t="shared" si="78"/>
        <v>0</v>
      </c>
      <c r="D1695" s="10">
        <v>0</v>
      </c>
      <c r="E1695" s="9">
        <f t="shared" si="79"/>
        <v>0</v>
      </c>
      <c r="F1695" s="9">
        <f t="shared" si="80"/>
        <v>0</v>
      </c>
    </row>
    <row r="1696" s="1" customFormat="1" spans="1:6">
      <c r="A1696" s="8" t="str">
        <f>"2020895713"</f>
        <v>2020895713</v>
      </c>
      <c r="B1696" s="9">
        <v>82</v>
      </c>
      <c r="C1696" s="9">
        <f t="shared" si="78"/>
        <v>24.6</v>
      </c>
      <c r="D1696" s="10">
        <v>63</v>
      </c>
      <c r="E1696" s="9">
        <f t="shared" si="79"/>
        <v>44.1</v>
      </c>
      <c r="F1696" s="9">
        <f t="shared" si="80"/>
        <v>68.7</v>
      </c>
    </row>
    <row r="1697" s="1" customFormat="1" spans="1:6">
      <c r="A1697" s="8" t="str">
        <f>"2020895714"</f>
        <v>2020895714</v>
      </c>
      <c r="B1697" s="9">
        <v>80</v>
      </c>
      <c r="C1697" s="9">
        <f t="shared" si="78"/>
        <v>24</v>
      </c>
      <c r="D1697" s="10">
        <v>67</v>
      </c>
      <c r="E1697" s="9">
        <f t="shared" si="79"/>
        <v>46.9</v>
      </c>
      <c r="F1697" s="9">
        <f t="shared" si="80"/>
        <v>70.9</v>
      </c>
    </row>
    <row r="1698" s="1" customFormat="1" spans="1:6">
      <c r="A1698" s="8" t="str">
        <f>"2020895715"</f>
        <v>2020895715</v>
      </c>
      <c r="B1698" s="9">
        <v>78</v>
      </c>
      <c r="C1698" s="9">
        <f t="shared" si="78"/>
        <v>23.4</v>
      </c>
      <c r="D1698" s="10">
        <v>73</v>
      </c>
      <c r="E1698" s="9">
        <f t="shared" si="79"/>
        <v>51.1</v>
      </c>
      <c r="F1698" s="9">
        <f t="shared" si="80"/>
        <v>74.5</v>
      </c>
    </row>
    <row r="1699" s="1" customFormat="1" spans="1:6">
      <c r="A1699" s="8" t="str">
        <f>"2020895716"</f>
        <v>2020895716</v>
      </c>
      <c r="B1699" s="9">
        <v>75</v>
      </c>
      <c r="C1699" s="9">
        <f t="shared" si="78"/>
        <v>22.5</v>
      </c>
      <c r="D1699" s="10">
        <v>63</v>
      </c>
      <c r="E1699" s="9">
        <f t="shared" si="79"/>
        <v>44.1</v>
      </c>
      <c r="F1699" s="9">
        <f t="shared" si="80"/>
        <v>66.6</v>
      </c>
    </row>
    <row r="1700" s="1" customFormat="1" spans="1:6">
      <c r="A1700" s="8" t="str">
        <f>"2020895717"</f>
        <v>2020895717</v>
      </c>
      <c r="B1700" s="9">
        <v>78</v>
      </c>
      <c r="C1700" s="9">
        <f t="shared" si="78"/>
        <v>23.4</v>
      </c>
      <c r="D1700" s="10">
        <v>43</v>
      </c>
      <c r="E1700" s="9">
        <f t="shared" si="79"/>
        <v>30.1</v>
      </c>
      <c r="F1700" s="9">
        <f t="shared" si="80"/>
        <v>53.5</v>
      </c>
    </row>
    <row r="1701" s="1" customFormat="1" spans="1:6">
      <c r="A1701" s="8" t="str">
        <f>"2020895718"</f>
        <v>2020895718</v>
      </c>
      <c r="B1701" s="9">
        <v>0</v>
      </c>
      <c r="C1701" s="9">
        <f t="shared" si="78"/>
        <v>0</v>
      </c>
      <c r="D1701" s="10">
        <v>0</v>
      </c>
      <c r="E1701" s="9">
        <f t="shared" si="79"/>
        <v>0</v>
      </c>
      <c r="F1701" s="9">
        <f t="shared" si="80"/>
        <v>0</v>
      </c>
    </row>
    <row r="1702" s="1" customFormat="1" spans="1:6">
      <c r="A1702" s="8" t="str">
        <f>"2020895719"</f>
        <v>2020895719</v>
      </c>
      <c r="B1702" s="9">
        <v>75</v>
      </c>
      <c r="C1702" s="9">
        <f t="shared" si="78"/>
        <v>22.5</v>
      </c>
      <c r="D1702" s="10">
        <v>67</v>
      </c>
      <c r="E1702" s="9">
        <f t="shared" si="79"/>
        <v>46.9</v>
      </c>
      <c r="F1702" s="9">
        <f t="shared" si="80"/>
        <v>69.4</v>
      </c>
    </row>
    <row r="1703" s="1" customFormat="1" spans="1:6">
      <c r="A1703" s="8" t="str">
        <f>"2020895720"</f>
        <v>2020895720</v>
      </c>
      <c r="B1703" s="9">
        <v>84</v>
      </c>
      <c r="C1703" s="9">
        <f t="shared" si="78"/>
        <v>25.2</v>
      </c>
      <c r="D1703" s="10">
        <v>64</v>
      </c>
      <c r="E1703" s="9">
        <f t="shared" si="79"/>
        <v>44.8</v>
      </c>
      <c r="F1703" s="9">
        <f t="shared" si="80"/>
        <v>70</v>
      </c>
    </row>
    <row r="1704" s="1" customFormat="1" spans="1:6">
      <c r="A1704" s="8" t="str">
        <f>"2020895721"</f>
        <v>2020895721</v>
      </c>
      <c r="B1704" s="9">
        <v>74</v>
      </c>
      <c r="C1704" s="9">
        <f t="shared" si="78"/>
        <v>22.2</v>
      </c>
      <c r="D1704" s="10">
        <v>69</v>
      </c>
      <c r="E1704" s="9">
        <f t="shared" si="79"/>
        <v>48.3</v>
      </c>
      <c r="F1704" s="9">
        <f t="shared" si="80"/>
        <v>70.5</v>
      </c>
    </row>
    <row r="1705" s="1" customFormat="1" spans="1:6">
      <c r="A1705" s="8" t="str">
        <f>"2020895722"</f>
        <v>2020895722</v>
      </c>
      <c r="B1705" s="9">
        <v>78</v>
      </c>
      <c r="C1705" s="9">
        <f t="shared" si="78"/>
        <v>23.4</v>
      </c>
      <c r="D1705" s="10">
        <v>74</v>
      </c>
      <c r="E1705" s="9">
        <f t="shared" si="79"/>
        <v>51.8</v>
      </c>
      <c r="F1705" s="9">
        <f t="shared" si="80"/>
        <v>75.2</v>
      </c>
    </row>
    <row r="1706" s="1" customFormat="1" spans="1:6">
      <c r="A1706" s="8" t="str">
        <f>"2020895723"</f>
        <v>2020895723</v>
      </c>
      <c r="B1706" s="9">
        <v>0</v>
      </c>
      <c r="C1706" s="9">
        <f t="shared" si="78"/>
        <v>0</v>
      </c>
      <c r="D1706" s="10">
        <v>0</v>
      </c>
      <c r="E1706" s="9">
        <f t="shared" si="79"/>
        <v>0</v>
      </c>
      <c r="F1706" s="9">
        <f t="shared" si="80"/>
        <v>0</v>
      </c>
    </row>
    <row r="1707" s="1" customFormat="1" spans="1:6">
      <c r="A1707" s="8" t="str">
        <f>"2020895724"</f>
        <v>2020895724</v>
      </c>
      <c r="B1707" s="9">
        <v>81</v>
      </c>
      <c r="C1707" s="9">
        <f t="shared" si="78"/>
        <v>24.3</v>
      </c>
      <c r="D1707" s="10">
        <v>71</v>
      </c>
      <c r="E1707" s="9">
        <f t="shared" si="79"/>
        <v>49.7</v>
      </c>
      <c r="F1707" s="9">
        <f t="shared" si="80"/>
        <v>74</v>
      </c>
    </row>
    <row r="1708" s="1" customFormat="1" spans="1:6">
      <c r="A1708" s="8" t="str">
        <f>"2020895725"</f>
        <v>2020895725</v>
      </c>
      <c r="B1708" s="9">
        <v>0</v>
      </c>
      <c r="C1708" s="9">
        <f t="shared" si="78"/>
        <v>0</v>
      </c>
      <c r="D1708" s="10">
        <v>0</v>
      </c>
      <c r="E1708" s="9">
        <f t="shared" si="79"/>
        <v>0</v>
      </c>
      <c r="F1708" s="9">
        <f t="shared" si="80"/>
        <v>0</v>
      </c>
    </row>
    <row r="1709" s="1" customFormat="1" spans="1:6">
      <c r="A1709" s="8" t="str">
        <f>"2020895726"</f>
        <v>2020895726</v>
      </c>
      <c r="B1709" s="9">
        <v>82</v>
      </c>
      <c r="C1709" s="9">
        <f t="shared" si="78"/>
        <v>24.6</v>
      </c>
      <c r="D1709" s="10">
        <v>84</v>
      </c>
      <c r="E1709" s="9">
        <f t="shared" si="79"/>
        <v>58.8</v>
      </c>
      <c r="F1709" s="9">
        <f t="shared" si="80"/>
        <v>83.4</v>
      </c>
    </row>
    <row r="1710" s="1" customFormat="1" spans="1:6">
      <c r="A1710" s="8" t="str">
        <f>"2020895727"</f>
        <v>2020895727</v>
      </c>
      <c r="B1710" s="9">
        <v>0</v>
      </c>
      <c r="C1710" s="9">
        <f t="shared" si="78"/>
        <v>0</v>
      </c>
      <c r="D1710" s="10">
        <v>0</v>
      </c>
      <c r="E1710" s="9">
        <f t="shared" si="79"/>
        <v>0</v>
      </c>
      <c r="F1710" s="9">
        <f t="shared" si="80"/>
        <v>0</v>
      </c>
    </row>
    <row r="1711" s="1" customFormat="1" spans="1:6">
      <c r="A1711" s="8" t="str">
        <f>"2020895728"</f>
        <v>2020895728</v>
      </c>
      <c r="B1711" s="9">
        <v>65</v>
      </c>
      <c r="C1711" s="9">
        <f t="shared" si="78"/>
        <v>19.5</v>
      </c>
      <c r="D1711" s="10">
        <v>72</v>
      </c>
      <c r="E1711" s="9">
        <f t="shared" si="79"/>
        <v>50.4</v>
      </c>
      <c r="F1711" s="9">
        <f t="shared" si="80"/>
        <v>69.9</v>
      </c>
    </row>
    <row r="1712" s="1" customFormat="1" spans="1:6">
      <c r="A1712" s="8" t="str">
        <f>"2020895729"</f>
        <v>2020895729</v>
      </c>
      <c r="B1712" s="9">
        <v>76</v>
      </c>
      <c r="C1712" s="9">
        <f t="shared" si="78"/>
        <v>22.8</v>
      </c>
      <c r="D1712" s="10">
        <v>73</v>
      </c>
      <c r="E1712" s="9">
        <f t="shared" si="79"/>
        <v>51.1</v>
      </c>
      <c r="F1712" s="9">
        <f t="shared" si="80"/>
        <v>73.9</v>
      </c>
    </row>
    <row r="1713" s="1" customFormat="1" spans="1:6">
      <c r="A1713" s="8" t="str">
        <f>"2020895730"</f>
        <v>2020895730</v>
      </c>
      <c r="B1713" s="9">
        <v>0</v>
      </c>
      <c r="C1713" s="9">
        <f t="shared" si="78"/>
        <v>0</v>
      </c>
      <c r="D1713" s="10">
        <v>0</v>
      </c>
      <c r="E1713" s="9">
        <f t="shared" si="79"/>
        <v>0</v>
      </c>
      <c r="F1713" s="9">
        <f t="shared" si="80"/>
        <v>0</v>
      </c>
    </row>
    <row r="1714" s="1" customFormat="1" spans="2:6">
      <c r="B1714" s="3"/>
      <c r="C1714" s="3"/>
      <c r="D1714" s="3"/>
      <c r="E1714" s="3"/>
      <c r="F1714" s="3"/>
    </row>
    <row r="1715" s="1" customFormat="1" spans="2:6">
      <c r="B1715" s="3"/>
      <c r="C1715" s="3"/>
      <c r="D1715" s="3"/>
      <c r="E1715" s="3"/>
      <c r="F1715" s="3"/>
    </row>
    <row r="1716" s="1" customFormat="1" spans="2:6">
      <c r="B1716" s="3"/>
      <c r="C1716" s="13"/>
      <c r="D1716" s="13"/>
      <c r="E1716" s="13"/>
      <c r="F1716" s="13"/>
    </row>
  </sheetData>
  <sheetProtection sheet="1" objects="1"/>
  <mergeCells count="3">
    <mergeCell ref="A1:F1"/>
    <mergeCell ref="C1715:F1715"/>
    <mergeCell ref="C1716:F171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梅子</cp:lastModifiedBy>
  <dcterms:created xsi:type="dcterms:W3CDTF">2020-08-17T03:54:00Z</dcterms:created>
  <dcterms:modified xsi:type="dcterms:W3CDTF">2020-08-17T04:24:31Z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